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INIO\documenti\Scambio\0 TRASPARENZA_LUNARDI_pubblicazione sito\BILANCI\Bilanci consuntivi\2022\"/>
    </mc:Choice>
  </mc:AlternateContent>
  <xr:revisionPtr revIDLastSave="0" documentId="13_ncr:1_{E3DB0D5A-6376-4F23-B487-A2D618AAFF04}" xr6:coauthVersionLast="45" xr6:coauthVersionMax="45" xr10:uidLastSave="{00000000-0000-0000-0000-000000000000}"/>
  <bookViews>
    <workbookView xWindow="-120" yWindow="-120" windowWidth="29040" windowHeight="15840" tabRatio="932" activeTab="1" xr2:uid="{00000000-000D-0000-FFFF-FFFF00000000}"/>
  </bookViews>
  <sheets>
    <sheet name="StatoPatrimoniale" sheetId="1" r:id="rId1"/>
    <sheet name="ContoEconomico" sheetId="2" r:id="rId2"/>
  </sheets>
  <definedNames>
    <definedName name="_xlnm.Print_Area" localSheetId="1">ContoEconomico!$A$1:$C$68</definedName>
    <definedName name="_xlnm.Print_Area" localSheetId="0">StatoPatrimoniale!$A$1:$F$83</definedName>
    <definedName name="Print_Area_0" localSheetId="1">ContoEconomico!$A$1:$E$69</definedName>
    <definedName name="Print_Area_0" localSheetId="0">StatoPatrimoniale!$A$1:$K$86</definedName>
    <definedName name="Print_Area_0_0" localSheetId="1">ContoEconomico!$A$1:$E$69</definedName>
    <definedName name="Print_Area_0_0" localSheetId="0">StatoPatrimoniale!$A$1:$K$86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3" i="2" l="1"/>
  <c r="B67" i="2" l="1"/>
  <c r="C65" i="2"/>
  <c r="B65" i="2"/>
  <c r="C61" i="2"/>
  <c r="B61" i="2"/>
  <c r="C54" i="2"/>
  <c r="B54" i="2"/>
  <c r="C51" i="2"/>
  <c r="C57" i="2" s="1"/>
  <c r="B51" i="2"/>
  <c r="B57" i="2" s="1"/>
  <c r="C38" i="2"/>
  <c r="B38" i="2"/>
  <c r="B34" i="2"/>
  <c r="C32" i="2"/>
  <c r="B32" i="2"/>
  <c r="C30" i="2"/>
  <c r="B30" i="2"/>
  <c r="C29" i="2"/>
  <c r="C28" i="2" s="1"/>
  <c r="C47" i="2" s="1"/>
  <c r="B29" i="2"/>
  <c r="B28" i="2"/>
  <c r="B47" i="2" s="1"/>
  <c r="C23" i="2"/>
  <c r="B23" i="2"/>
  <c r="C22" i="2"/>
  <c r="B22" i="2"/>
  <c r="C17" i="2"/>
  <c r="B17" i="2"/>
  <c r="C15" i="2"/>
  <c r="B15" i="2"/>
  <c r="C12" i="2"/>
  <c r="C25" i="2" s="1"/>
  <c r="C48" i="2" s="1"/>
  <c r="C66" i="2" s="1"/>
  <c r="C68" i="2" s="1"/>
  <c r="B12" i="2"/>
  <c r="B25" i="2" s="1"/>
  <c r="F81" i="1"/>
  <c r="C81" i="1"/>
  <c r="B81" i="1"/>
  <c r="F80" i="1"/>
  <c r="E80" i="1"/>
  <c r="B75" i="1"/>
  <c r="C71" i="1"/>
  <c r="B71" i="1"/>
  <c r="F67" i="1"/>
  <c r="F65" i="1"/>
  <c r="E65" i="1"/>
  <c r="B63" i="1"/>
  <c r="C61" i="1"/>
  <c r="C50" i="1" s="1"/>
  <c r="B61" i="1"/>
  <c r="F60" i="1"/>
  <c r="C60" i="1"/>
  <c r="B60" i="1"/>
  <c r="C58" i="1"/>
  <c r="B58" i="1"/>
  <c r="F57" i="1"/>
  <c r="E57" i="1"/>
  <c r="C57" i="1"/>
  <c r="B57" i="1"/>
  <c r="F54" i="1"/>
  <c r="E54" i="1"/>
  <c r="E67" i="1" s="1"/>
  <c r="B50" i="1"/>
  <c r="C43" i="1"/>
  <c r="C76" i="1" s="1"/>
  <c r="B43" i="1"/>
  <c r="B76" i="1" s="1"/>
  <c r="F37" i="1"/>
  <c r="C36" i="1"/>
  <c r="B36" i="1"/>
  <c r="C34" i="1"/>
  <c r="B34" i="1"/>
  <c r="E33" i="1"/>
  <c r="C32" i="1"/>
  <c r="B32" i="1"/>
  <c r="C31" i="1"/>
  <c r="C22" i="1" s="1"/>
  <c r="B31" i="1"/>
  <c r="C30" i="1"/>
  <c r="B30" i="1"/>
  <c r="E27" i="1"/>
  <c r="E37" i="1" s="1"/>
  <c r="C27" i="1"/>
  <c r="B27" i="1"/>
  <c r="C26" i="1"/>
  <c r="B26" i="1"/>
  <c r="C25" i="1"/>
  <c r="B25" i="1"/>
  <c r="C24" i="1"/>
  <c r="B24" i="1"/>
  <c r="B22" i="1" s="1"/>
  <c r="B21" i="1"/>
  <c r="F20" i="1"/>
  <c r="E20" i="1"/>
  <c r="C20" i="1"/>
  <c r="B20" i="1"/>
  <c r="C19" i="1"/>
  <c r="B19" i="1"/>
  <c r="B15" i="1" s="1"/>
  <c r="F18" i="1"/>
  <c r="E18" i="1"/>
  <c r="F16" i="1"/>
  <c r="E16" i="1"/>
  <c r="E14" i="1" s="1"/>
  <c r="F15" i="1"/>
  <c r="F14" i="1" s="1"/>
  <c r="F23" i="1" s="1"/>
  <c r="F83" i="1" s="1"/>
  <c r="E15" i="1"/>
  <c r="C15" i="1"/>
  <c r="F13" i="1"/>
  <c r="E13" i="1"/>
  <c r="E23" i="1" s="1"/>
  <c r="C41" i="1" l="1"/>
  <c r="C83" i="1" s="1"/>
  <c r="E81" i="1"/>
  <c r="B41" i="1"/>
  <c r="B48" i="2"/>
  <c r="B83" i="1" l="1"/>
  <c r="B66" i="2"/>
  <c r="E83" i="1"/>
  <c r="B68" i="2" l="1"/>
</calcChain>
</file>

<file path=xl/sharedStrings.xml><?xml version="1.0" encoding="utf-8"?>
<sst xmlns="http://schemas.openxmlformats.org/spreadsheetml/2006/main" count="200" uniqueCount="173">
  <si>
    <t xml:space="preserve">ENTE PARCO REGIONALE DELLA MAREMMA </t>
  </si>
  <si>
    <t>Grosseto - Frazione Alberese - via del Bersagliere n.7/9</t>
  </si>
  <si>
    <t>Codice Fiscale 80004430536 - Partita I.V.A. 00238180533</t>
  </si>
  <si>
    <t>Bilancio dell'esercizio dal 01/01/2022 al 31/12/2022</t>
  </si>
  <si>
    <t>Redatto ai sensi della delibera di G.R. Toscana n. 496 del 16/04/2019</t>
  </si>
  <si>
    <t>STATO PATRIMONIALE AL 31/12/2022</t>
  </si>
  <si>
    <t>ATTIVO</t>
  </si>
  <si>
    <t>PASSIVO</t>
  </si>
  <si>
    <t>A) Crediti verso la Regione per versamenti ancora dovuti a valere sul Fondo di dotazione</t>
  </si>
  <si>
    <t>A) PATRIMONIO NETTO</t>
  </si>
  <si>
    <t>B) IMMOBILIZZAZIONI (valore netto)</t>
  </si>
  <si>
    <t>I. Fondo di dotazione</t>
  </si>
  <si>
    <t>con separata indicazione di quelle concesse in locazione finanziaria</t>
  </si>
  <si>
    <t>II. Riserve</t>
  </si>
  <si>
    <t>I. Immobilizzazioni Immateriali</t>
  </si>
  <si>
    <t>1) Riserva legale</t>
  </si>
  <si>
    <t>1) Costi di impianto e ampliamento</t>
  </si>
  <si>
    <t>2) Riserve vincolate ad investimenti</t>
  </si>
  <si>
    <t>2) Costi di ricerca e sviluppo</t>
  </si>
  <si>
    <t>3) Altre riserve</t>
  </si>
  <si>
    <t>3) Diritti di brevetto e di utilizzazione opere ingegno</t>
  </si>
  <si>
    <t>III. Riserve indisponibili</t>
  </si>
  <si>
    <t>4) concessioni, licenze, marchi e diritti simili</t>
  </si>
  <si>
    <t>1) Riserve indisponibili</t>
  </si>
  <si>
    <t>5) Altre immobilizzazioni immateriali</t>
  </si>
  <si>
    <t>IV. Donazioni e lasciti</t>
  </si>
  <si>
    <t>6) Immobilizzazioni in corso e acconti</t>
  </si>
  <si>
    <t>V. Utile (perdite) portate a nuovo</t>
  </si>
  <si>
    <t>II. Immobilizzazioni Materiali</t>
  </si>
  <si>
    <t>VI. Utile (perdita) di esercizio</t>
  </si>
  <si>
    <t>1) Terreni e Fabbricati</t>
  </si>
  <si>
    <t>Totale Patrimonio Netto (A)</t>
  </si>
  <si>
    <t>1a) Terreni</t>
  </si>
  <si>
    <t>1b) Fabbricati ad uso istituzionale e commerciale</t>
  </si>
  <si>
    <t>B) FONDI PER RISCHI ED ONERI</t>
  </si>
  <si>
    <t>2) Impianti e macchinario (17 - 35)</t>
  </si>
  <si>
    <t>1) Fondo per trattamento di quiescenza ed obblighi simili</t>
  </si>
  <si>
    <t>3) Attrezzature istituzionali e commerciali (21-28-33-34)</t>
  </si>
  <si>
    <t>2) Fondo imposte anche differite</t>
  </si>
  <si>
    <t>4) Altri beni</t>
  </si>
  <si>
    <t>3)Fondo per strumenti finanziari derivati passivi</t>
  </si>
  <si>
    <t>4a) Macchinari d'ufficio</t>
  </si>
  <si>
    <t>4) Altri Fondi:</t>
  </si>
  <si>
    <t>4b) Mobili e arredi (22-23-24)</t>
  </si>
  <si>
    <t>4 a) Fondi per cause in corso (compresi i contenziosi da sinistri)</t>
  </si>
  <si>
    <t>4c) Mezzi di trasportoi (25)</t>
  </si>
  <si>
    <t>4 b) Fondo per rischi su crediti</t>
  </si>
  <si>
    <t>4d)Equipaggiamento e vestiario (36)</t>
  </si>
  <si>
    <t>4 c) Fondi per manutenzione ciclica</t>
  </si>
  <si>
    <t>4e)Materiale bibliografico</t>
  </si>
  <si>
    <t xml:space="preserve">4 d) Fondi per contratti onerosi </t>
  </si>
  <si>
    <t>4f) Hardware (29-32)</t>
  </si>
  <si>
    <t>4 e) Fondi per recupero ambientale</t>
  </si>
  <si>
    <t>9) Immobilizzazioni in corso e acconti</t>
  </si>
  <si>
    <t>4 f) Fondi per rinnovi contrattuali</t>
  </si>
  <si>
    <t>III. Immobilizzazioni Finanziarie</t>
  </si>
  <si>
    <t>4 g) Fondi per la contrattazione di secondo livello</t>
  </si>
  <si>
    <t>con separata indicazione per ciascuna voce degli importi esigibili entro l'esercizio successivo</t>
  </si>
  <si>
    <t>Totale Fondi per rischi ed oneri (B)</t>
  </si>
  <si>
    <t>1) Partecipazioni</t>
  </si>
  <si>
    <t>2) Crediti finanziari</t>
  </si>
  <si>
    <t>C) TRATTAMENTO DI FINE RAPPORTO DI LAVORO SUBORDINATO</t>
  </si>
  <si>
    <t>3) Altri titoli</t>
  </si>
  <si>
    <t>Totale Immobizzazioni (A)</t>
  </si>
  <si>
    <t>D) DEBITI</t>
  </si>
  <si>
    <t>C) ATTIVO CIRCOLANTE</t>
  </si>
  <si>
    <t>con separata indicazione per ciascuna voce, degli importi esigibili entro l'esercizio successivo</t>
  </si>
  <si>
    <t>I. Rimanenze</t>
  </si>
  <si>
    <t>1) Debiti verso Banche</t>
  </si>
  <si>
    <t>1) Materie prime sussidiarie e di consumo</t>
  </si>
  <si>
    <t>entro 12 mesi</t>
  </si>
  <si>
    <t>2) Prodotti in corso di lavorazione e semilavorati</t>
  </si>
  <si>
    <t>oltre 12 mesi</t>
  </si>
  <si>
    <t>3) Lavori in corso su ordinazione</t>
  </si>
  <si>
    <t>2) Debiti verso Regione Toscana</t>
  </si>
  <si>
    <t>4) Prodotti finiti</t>
  </si>
  <si>
    <t>5) Acconti</t>
  </si>
  <si>
    <t>6) Fabbricati destinati alla vendita</t>
  </si>
  <si>
    <t>2 bis) Debiti verso Regione Toscana per finanziamenti</t>
  </si>
  <si>
    <t>II. Crediti</t>
  </si>
  <si>
    <t>3) Debiti verso altri soggetti pubblici</t>
  </si>
  <si>
    <t>con separata indicazione per ciascuna voce, degli</t>
  </si>
  <si>
    <t>importi esigibili entro l'esercizio successivo</t>
  </si>
  <si>
    <t>1) Crediti verso Regione</t>
  </si>
  <si>
    <t>4) Debiti verso fornitori</t>
  </si>
  <si>
    <t>2) Crediti verso altri Enti pubblici</t>
  </si>
  <si>
    <t>5) Debiti Tributari</t>
  </si>
  <si>
    <t>3) Crediti verso soggetti privati</t>
  </si>
  <si>
    <t>6) debiti verso istituti previdenziali e assicurativi</t>
  </si>
  <si>
    <t xml:space="preserve">entro 12 mesi </t>
  </si>
  <si>
    <t>4) Crediti verso l'Erario</t>
  </si>
  <si>
    <t>7) debiti verso la Regione o altri Enti per Fondi in amministrazione</t>
  </si>
  <si>
    <t>8) Acconti</t>
  </si>
  <si>
    <t>9) Altri debiti</t>
  </si>
  <si>
    <t>5) Crediti verso altri</t>
  </si>
  <si>
    <t>Totale Debiti (D)</t>
  </si>
  <si>
    <t>III. Attività Finanziarie che non costituiscono Immobilizzazioni</t>
  </si>
  <si>
    <t>2) Altri titoli</t>
  </si>
  <si>
    <t>IV. Disponibilità Liquide</t>
  </si>
  <si>
    <t>1) Istituto tesoriere/cassiere</t>
  </si>
  <si>
    <t>2) Depositi bancari e postali</t>
  </si>
  <si>
    <t>2bis) Depositi bancari vincolati alla gestione di Fondi in amministrazione</t>
  </si>
  <si>
    <t>3) Denaro e valori in cassa</t>
  </si>
  <si>
    <t>Totale Attivo Circolante (B)</t>
  </si>
  <si>
    <t>D) RATEI E RISCONTI</t>
  </si>
  <si>
    <t>E) RATEI E RISCONTI</t>
  </si>
  <si>
    <t>Ratei Attivi</t>
  </si>
  <si>
    <t>Ratei Passivi</t>
  </si>
  <si>
    <t>Risconti Attivi</t>
  </si>
  <si>
    <t>Risconti Passivi</t>
  </si>
  <si>
    <t>Totale Ratei e Risconti C)</t>
  </si>
  <si>
    <t>Totale Ratei e Risconti (E)</t>
  </si>
  <si>
    <t>TOTALE ATTIVO</t>
  </si>
  <si>
    <t>TOTALE PASSIVO</t>
  </si>
  <si>
    <t>A) VALORE DELLA PRODUZIONE</t>
  </si>
  <si>
    <t>A.1) Ricavi delle vendite e delle prestazioni</t>
  </si>
  <si>
    <t>A.1.a) Contributi per l'attuazione del Piano/Programma delle attività</t>
  </si>
  <si>
    <t>A.1.b) Contributi della Regione per il funzionamento</t>
  </si>
  <si>
    <t xml:space="preserve">A.1.c) Altri contributi della Regione </t>
  </si>
  <si>
    <t>A.1.d) Contributi per l'erogazione di benefici a terzi</t>
  </si>
  <si>
    <t>A.1.e) Contributi da altri soggetti pubblici</t>
  </si>
  <si>
    <t>A.1.f) Ricavi prestazioni attività commerciale</t>
  </si>
  <si>
    <t>A.2) Variazione delle rimanenze di prodotti in corso di lavorazione,semilavorati e finiti</t>
  </si>
  <si>
    <t>A.3) Variazione dei lavori in corso su ordinazione</t>
  </si>
  <si>
    <t>A.4) Incrementi di immobilizzazioni per lavori interni (costi capitalizzati)</t>
  </si>
  <si>
    <t>A.5) Altri ricavi e proventi con separata indicazione dei contributi in conto esercizio</t>
  </si>
  <si>
    <t>A.5.a) Altri ricavi e proventi, concorsi recuperi e rimborsi</t>
  </si>
  <si>
    <t>A.5.b) Costi sterilizzati da utilizzo contributi per investimenti</t>
  </si>
  <si>
    <t>Totale valore della produzione (A)</t>
  </si>
  <si>
    <t>B) COSTI DELLA PRODUZIONE</t>
  </si>
  <si>
    <t>B.6) Acquisti di beni</t>
  </si>
  <si>
    <t>B.7) Acquisti di servizi</t>
  </si>
  <si>
    <t>B.7.a) Manutenzioni e riparazioni</t>
  </si>
  <si>
    <t>B.7.b) Altri acquisti di servizi</t>
  </si>
  <si>
    <t>B.8) Godimento di beni di terzi</t>
  </si>
  <si>
    <t>B.9) Personale</t>
  </si>
  <si>
    <t>B.9.a) Salari e stipendi</t>
  </si>
  <si>
    <t>B.9.b) Oneri sociali</t>
  </si>
  <si>
    <t>B.9 c) Trattamento di fine rapporto</t>
  </si>
  <si>
    <t>B.9.d) Trattamento di quiescenza e simili</t>
  </si>
  <si>
    <t>B.9.e) Altri costi</t>
  </si>
  <si>
    <t>B.10) Ammortamenti e svalutazioni</t>
  </si>
  <si>
    <t>B.10.a) Ammortamento immobilizzazioni immateriali</t>
  </si>
  <si>
    <t>B.10.b) Ammortamento immobilizzzioni materiali</t>
  </si>
  <si>
    <t>B.10.c) Altre svalutazioni delle immobilizzazioni</t>
  </si>
  <si>
    <t>B.10.d) Svalutazione dei crediti</t>
  </si>
  <si>
    <t>B.11) Variazione delle rimanenze di materie prime,sussidiarie,di consumo e merci</t>
  </si>
  <si>
    <t>B.12) Accantonamenti per rischi ed oneri</t>
  </si>
  <si>
    <t xml:space="preserve">B.13) Altri Accantonamenti </t>
  </si>
  <si>
    <t>B.14) Oneri diversi di gestione</t>
  </si>
  <si>
    <t>Totale costi della produzione (B)</t>
  </si>
  <si>
    <t>DIFFERENZA TRA VALORE E COSTI DELLA PRODUZIONE (A-B)</t>
  </si>
  <si>
    <t>C) PROVENTI ED ONERI FINANZIARI</t>
  </si>
  <si>
    <t>C.15) Proventi da partecipazioni</t>
  </si>
  <si>
    <t>C.16) Altri proventi finanziari</t>
  </si>
  <si>
    <t>C.16 d) Interessi attivi su c/c bancari e postali</t>
  </si>
  <si>
    <t>C.16 e) Proventi diversi dai precedenti</t>
  </si>
  <si>
    <t>C.17) Interessi passivi ed altri oneri finanziari</t>
  </si>
  <si>
    <t>C.17 a) Interessi passivi su debiti finanziari</t>
  </si>
  <si>
    <t>C.17 b) Altri oneri finanziari</t>
  </si>
  <si>
    <t>Totale C)</t>
  </si>
  <si>
    <t>D) RETTIFICHE DI VALORE DI  ATTIVITA' FINANZIARIE</t>
  </si>
  <si>
    <t>D.1) Rivalutazioni</t>
  </si>
  <si>
    <t>D.2) Svalutazioni</t>
  </si>
  <si>
    <t>Totale D)</t>
  </si>
  <si>
    <t>E) PROVENTI ED ONERI STRAORDINARI</t>
  </si>
  <si>
    <t>E.1)Proventi straordinari</t>
  </si>
  <si>
    <t>E.2) Oneri straordinari</t>
  </si>
  <si>
    <t>Totale E)</t>
  </si>
  <si>
    <t>RISULTATO PRIMA DELLE IMPOSTE (AB +-C+-D)</t>
  </si>
  <si>
    <t>Imposte d'esercizio, correnti,differite e anticipate</t>
  </si>
  <si>
    <t>UTILE (O PERDITA) DELL'ESERCIZIO</t>
  </si>
  <si>
    <t>CONTO ECONOMICO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</si>
</sst>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#.00"/>
  </numFmts>
  <fonts count="17" x14ac:knownFonts="1">
    <font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4"/>
      <name val="Calibri"/>
      <family val="2"/>
      <charset val="1"/>
    </font>
    <font>
      <b/>
      <sz val="10"/>
      <name val="Calibri"/>
      <family val="2"/>
      <charset val="1"/>
    </font>
    <font>
      <b/>
      <sz val="12"/>
      <name val="Calibri"/>
      <family val="2"/>
      <charset val="1"/>
    </font>
    <font>
      <b/>
      <sz val="8"/>
      <name val="Calibri"/>
      <family val="2"/>
      <charset val="1"/>
    </font>
    <font>
      <sz val="8"/>
      <name val="Calibri"/>
      <family val="2"/>
      <charset val="1"/>
    </font>
    <font>
      <b/>
      <sz val="10"/>
      <color rgb="FF00B0F0"/>
      <name val="Calibri"/>
      <family val="2"/>
      <charset val="1"/>
    </font>
    <font>
      <i/>
      <sz val="8"/>
      <name val="Calibri"/>
      <family val="2"/>
      <charset val="1"/>
    </font>
    <font>
      <sz val="8"/>
      <color rgb="FFFF0000"/>
      <name val="Calibri"/>
      <family val="2"/>
      <charset val="1"/>
    </font>
    <font>
      <b/>
      <sz val="14"/>
      <color rgb="FFFF0000"/>
      <name val="Calibri"/>
      <family val="2"/>
      <charset val="1"/>
    </font>
    <font>
      <sz val="18"/>
      <name val="Calibri"/>
      <family val="2"/>
      <charset val="1"/>
    </font>
    <font>
      <b/>
      <sz val="10"/>
      <color rgb="FF00B050"/>
      <name val="Calibri"/>
      <family val="2"/>
      <charset val="1"/>
    </font>
    <font>
      <sz val="10"/>
      <color rgb="FF953735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7E4BD"/>
        <bgColor rgb="FFD9D9D9"/>
      </patternFill>
    </fill>
    <fill>
      <patternFill patternType="solid">
        <fgColor rgb="FFFFCC99"/>
        <bgColor rgb="FFFAC090"/>
      </patternFill>
    </fill>
    <fill>
      <patternFill patternType="solid">
        <fgColor rgb="FFFFFFFF"/>
        <bgColor rgb="FFFDEADA"/>
      </patternFill>
    </fill>
    <fill>
      <patternFill patternType="solid">
        <fgColor rgb="FFFAC090"/>
        <bgColor rgb="FFFFCC99"/>
      </patternFill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6" fillId="0" borderId="0"/>
  </cellStyleXfs>
  <cellXfs count="9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10" fontId="1" fillId="0" borderId="0" xfId="0" applyNumberFormat="1" applyFont="1"/>
    <xf numFmtId="0" fontId="1" fillId="0" borderId="0" xfId="0" applyFont="1" applyBorder="1"/>
    <xf numFmtId="4" fontId="1" fillId="0" borderId="0" xfId="0" applyNumberFormat="1" applyFont="1" applyBorder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164" fontId="5" fillId="3" borderId="0" xfId="0" applyNumberFormat="1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" fontId="5" fillId="2" borderId="0" xfId="0" applyNumberFormat="1" applyFont="1" applyFill="1" applyBorder="1"/>
    <xf numFmtId="4" fontId="6" fillId="2" borderId="0" xfId="0" applyNumberFormat="1" applyFont="1" applyFill="1"/>
    <xf numFmtId="0" fontId="5" fillId="0" borderId="0" xfId="0" applyFont="1" applyBorder="1" applyAlignment="1">
      <alignment wrapText="1"/>
    </xf>
    <xf numFmtId="4" fontId="6" fillId="2" borderId="0" xfId="0" applyNumberFormat="1" applyFont="1" applyFill="1" applyBorder="1"/>
    <xf numFmtId="4" fontId="5" fillId="2" borderId="0" xfId="0" applyNumberFormat="1" applyFont="1" applyFill="1"/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4" fontId="6" fillId="2" borderId="0" xfId="0" applyNumberFormat="1" applyFont="1" applyFill="1" applyBorder="1" applyAlignment="1">
      <alignment horizontal="right"/>
    </xf>
    <xf numFmtId="0" fontId="5" fillId="3" borderId="0" xfId="0" applyFont="1" applyFill="1" applyAlignment="1">
      <alignment wrapText="1"/>
    </xf>
    <xf numFmtId="4" fontId="5" fillId="3" borderId="0" xfId="0" applyNumberFormat="1" applyFont="1" applyFill="1"/>
    <xf numFmtId="0" fontId="8" fillId="0" borderId="0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4" fontId="1" fillId="2" borderId="0" xfId="0" applyNumberFormat="1" applyFont="1" applyFill="1"/>
    <xf numFmtId="0" fontId="8" fillId="0" borderId="0" xfId="0" applyFont="1" applyBorder="1" applyAlignment="1">
      <alignment wrapText="1"/>
    </xf>
    <xf numFmtId="0" fontId="6" fillId="0" borderId="0" xfId="0" applyFont="1"/>
    <xf numFmtId="0" fontId="5" fillId="3" borderId="0" xfId="0" applyFont="1" applyFill="1" applyAlignment="1">
      <alignment vertical="top" wrapText="1"/>
    </xf>
    <xf numFmtId="4" fontId="6" fillId="3" borderId="0" xfId="0" applyNumberFormat="1" applyFont="1" applyFill="1"/>
    <xf numFmtId="0" fontId="6" fillId="0" borderId="0" xfId="0" applyFont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4" fontId="5" fillId="3" borderId="0" xfId="0" applyNumberFormat="1" applyFont="1" applyFill="1" applyBorder="1"/>
    <xf numFmtId="0" fontId="6" fillId="0" borderId="0" xfId="0" applyFont="1" applyAlignment="1">
      <alignment vertical="top" wrapText="1"/>
    </xf>
    <xf numFmtId="4" fontId="9" fillId="2" borderId="0" xfId="0" applyNumberFormat="1" applyFont="1" applyFill="1"/>
    <xf numFmtId="0" fontId="5" fillId="4" borderId="0" xfId="0" applyFont="1" applyFill="1" applyBorder="1" applyAlignment="1">
      <alignment wrapText="1"/>
    </xf>
    <xf numFmtId="0" fontId="6" fillId="4" borderId="0" xfId="0" applyFont="1" applyFill="1" applyBorder="1" applyAlignment="1">
      <alignment wrapText="1"/>
    </xf>
    <xf numFmtId="0" fontId="5" fillId="5" borderId="0" xfId="0" applyFont="1" applyFill="1" applyBorder="1" applyAlignment="1">
      <alignment wrapText="1"/>
    </xf>
    <xf numFmtId="4" fontId="5" fillId="5" borderId="0" xfId="0" applyNumberFormat="1" applyFont="1" applyFill="1" applyBorder="1"/>
    <xf numFmtId="4" fontId="5" fillId="5" borderId="0" xfId="0" applyNumberFormat="1" applyFont="1" applyFill="1"/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4" fontId="6" fillId="2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top"/>
    </xf>
    <xf numFmtId="4" fontId="5" fillId="2" borderId="0" xfId="0" applyNumberFormat="1" applyFont="1" applyFill="1" applyBorder="1" applyAlignment="1">
      <alignment vertical="top"/>
    </xf>
    <xf numFmtId="4" fontId="14" fillId="2" borderId="0" xfId="0" applyNumberFormat="1" applyFont="1" applyFill="1" applyBorder="1" applyAlignment="1">
      <alignment vertical="center"/>
    </xf>
    <xf numFmtId="4" fontId="5" fillId="2" borderId="0" xfId="0" applyNumberFormat="1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vertical="top"/>
    </xf>
    <xf numFmtId="0" fontId="5" fillId="0" borderId="0" xfId="0" applyFont="1" applyBorder="1" applyAlignment="1">
      <alignment vertical="center" wrapText="1"/>
    </xf>
    <xf numFmtId="0" fontId="5" fillId="3" borderId="0" xfId="0" applyFont="1" applyFill="1" applyBorder="1" applyAlignment="1">
      <alignment vertical="top" wrapText="1"/>
    </xf>
    <xf numFmtId="4" fontId="5" fillId="3" borderId="0" xfId="0" applyNumberFormat="1" applyFont="1" applyFill="1" applyBorder="1" applyAlignment="1">
      <alignment vertical="center"/>
    </xf>
    <xf numFmtId="4" fontId="5" fillId="6" borderId="0" xfId="0" applyNumberFormat="1" applyFont="1" applyFill="1" applyBorder="1" applyAlignment="1">
      <alignment vertical="center"/>
    </xf>
    <xf numFmtId="4" fontId="6" fillId="6" borderId="0" xfId="0" applyNumberFormat="1" applyFont="1" applyFill="1" applyBorder="1" applyAlignment="1">
      <alignment vertical="center"/>
    </xf>
    <xf numFmtId="14" fontId="5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4" fontId="1" fillId="0" borderId="0" xfId="0" applyNumberFormat="1" applyFont="1" applyFill="1"/>
    <xf numFmtId="10" fontId="1" fillId="0" borderId="0" xfId="0" applyNumberFormat="1" applyFont="1" applyFill="1"/>
    <xf numFmtId="0" fontId="1" fillId="0" borderId="0" xfId="0" applyFont="1" applyFill="1" applyBorder="1"/>
    <xf numFmtId="4" fontId="1" fillId="0" borderId="0" xfId="0" applyNumberFormat="1" applyFont="1" applyFill="1" applyBorder="1"/>
    <xf numFmtId="10" fontId="1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4" fontId="3" fillId="0" borderId="0" xfId="0" applyNumberFormat="1" applyFont="1" applyFill="1" applyBorder="1"/>
    <xf numFmtId="10" fontId="7" fillId="0" borderId="0" xfId="0" applyNumberFormat="1" applyFont="1" applyFill="1" applyBorder="1"/>
    <xf numFmtId="0" fontId="3" fillId="0" borderId="0" xfId="0" applyFont="1" applyFill="1"/>
    <xf numFmtId="4" fontId="3" fillId="0" borderId="0" xfId="0" applyNumberFormat="1" applyFont="1" applyFill="1"/>
    <xf numFmtId="165" fontId="1" fillId="0" borderId="0" xfId="0" applyNumberFormat="1" applyFont="1" applyFill="1"/>
    <xf numFmtId="4" fontId="11" fillId="0" borderId="0" xfId="0" applyNumberFormat="1" applyFont="1" applyFill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4" fontId="10" fillId="0" borderId="0" xfId="0" applyNumberFormat="1" applyFont="1" applyFill="1"/>
    <xf numFmtId="4" fontId="12" fillId="0" borderId="0" xfId="0" applyNumberFormat="1" applyFont="1" applyFill="1"/>
    <xf numFmtId="10" fontId="13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10" fontId="1" fillId="0" borderId="0" xfId="0" applyNumberFormat="1" applyFont="1" applyFill="1" applyBorder="1" applyAlignment="1">
      <alignment horizontal="left" vertical="center" wrapText="1"/>
    </xf>
    <xf numFmtId="4" fontId="4" fillId="0" borderId="0" xfId="0" applyNumberFormat="1" applyFont="1" applyFill="1" applyBorder="1"/>
    <xf numFmtId="10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/>
    </xf>
  </cellXfs>
  <cellStyles count="2">
    <cellStyle name="Normale" xfId="0" builtinId="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7E4BD"/>
      <rgbColor rgb="FF808080"/>
      <rgbColor rgb="FF9999FF"/>
      <rgbColor rgb="FF953735"/>
      <rgbColor rgb="FFFDEADA"/>
      <rgbColor rgb="FFDBEE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CCFF66"/>
      <rgbColor rgb="FF99CCFF"/>
      <rgbColor rgb="FFFAC090"/>
      <rgbColor rgb="FFCC99FF"/>
      <rgbColor rgb="FFFFCC99"/>
      <rgbColor rgb="FF3366FF"/>
      <rgbColor rgb="FF33CCCC"/>
      <rgbColor rgb="FF99FF66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99"/>
  <sheetViews>
    <sheetView topLeftCell="A76" zoomScale="120" zoomScaleNormal="120" workbookViewId="0">
      <selection activeCell="A84" sqref="A84:J99"/>
    </sheetView>
  </sheetViews>
  <sheetFormatPr defaultRowHeight="15" x14ac:dyDescent="0.25"/>
  <cols>
    <col min="1" max="1" width="24.28515625" style="1" customWidth="1"/>
    <col min="2" max="3" width="11.28515625" style="2" customWidth="1"/>
    <col min="4" max="4" width="27.85546875" style="1" customWidth="1"/>
    <col min="5" max="5" width="15.140625" style="3" customWidth="1"/>
    <col min="6" max="6" width="13.7109375" style="3" customWidth="1"/>
    <col min="7" max="7" width="17.42578125" style="2" bestFit="1" customWidth="1"/>
    <col min="8" max="8" width="11.28515625" style="3" customWidth="1"/>
    <col min="9" max="9" width="9.85546875" style="4" customWidth="1"/>
    <col min="10" max="10" width="12.28515625" style="4" customWidth="1"/>
    <col min="11" max="11" width="11.7109375" style="2" customWidth="1"/>
    <col min="12" max="12" width="10.42578125" style="2" customWidth="1"/>
    <col min="13" max="14" width="9.140625" style="2" customWidth="1"/>
    <col min="15" max="15" width="11.28515625" style="2" customWidth="1"/>
    <col min="16" max="1025" width="9.140625" style="2" customWidth="1"/>
  </cols>
  <sheetData>
    <row r="1" spans="1:16" ht="28.5" customHeight="1" x14ac:dyDescent="0.25">
      <c r="A1" s="57" t="s">
        <v>0</v>
      </c>
      <c r="B1" s="57"/>
      <c r="C1" s="57"/>
      <c r="D1" s="57"/>
      <c r="E1" s="57"/>
      <c r="F1" s="57"/>
      <c r="G1" s="61"/>
      <c r="H1" s="62"/>
      <c r="I1" s="63"/>
      <c r="J1" s="63"/>
      <c r="K1" s="61"/>
      <c r="L1" s="61"/>
      <c r="M1" s="61"/>
      <c r="N1" s="61"/>
      <c r="O1" s="61"/>
      <c r="P1" s="61"/>
    </row>
    <row r="2" spans="1:16" x14ac:dyDescent="0.25">
      <c r="A2" s="58" t="s">
        <v>1</v>
      </c>
      <c r="B2" s="58"/>
      <c r="C2" s="58"/>
      <c r="D2" s="58"/>
      <c r="E2" s="58"/>
      <c r="F2" s="58"/>
      <c r="G2" s="64"/>
      <c r="H2" s="65"/>
      <c r="I2" s="66"/>
      <c r="J2" s="66"/>
      <c r="K2" s="64"/>
      <c r="L2" s="64"/>
      <c r="M2" s="64"/>
      <c r="N2" s="64"/>
      <c r="O2" s="64"/>
      <c r="P2" s="61"/>
    </row>
    <row r="3" spans="1:16" x14ac:dyDescent="0.25">
      <c r="A3" s="58" t="s">
        <v>2</v>
      </c>
      <c r="B3" s="58"/>
      <c r="C3" s="58"/>
      <c r="D3" s="58"/>
      <c r="E3" s="58"/>
      <c r="F3" s="58"/>
      <c r="G3" s="64"/>
      <c r="H3" s="65"/>
      <c r="I3" s="66"/>
      <c r="J3" s="66"/>
      <c r="K3" s="64"/>
      <c r="L3" s="64"/>
      <c r="M3" s="64"/>
      <c r="N3" s="64"/>
      <c r="O3" s="64"/>
      <c r="P3" s="61"/>
    </row>
    <row r="4" spans="1:16" x14ac:dyDescent="0.25">
      <c r="A4" s="7"/>
      <c r="B4" s="8"/>
      <c r="C4" s="8"/>
      <c r="D4" s="7"/>
      <c r="E4" s="9"/>
      <c r="F4" s="9"/>
      <c r="G4" s="64"/>
      <c r="H4" s="65"/>
      <c r="I4" s="66"/>
      <c r="J4" s="66"/>
      <c r="K4" s="64"/>
      <c r="L4" s="64"/>
      <c r="M4" s="64"/>
      <c r="N4" s="64"/>
      <c r="O4" s="64"/>
      <c r="P4" s="61"/>
    </row>
    <row r="5" spans="1:16" x14ac:dyDescent="0.25">
      <c r="G5" s="64"/>
      <c r="H5" s="65"/>
      <c r="I5" s="66"/>
      <c r="J5" s="66"/>
      <c r="K5" s="64"/>
      <c r="L5" s="64"/>
      <c r="M5" s="64"/>
      <c r="N5" s="64"/>
      <c r="O5" s="64"/>
      <c r="P5" s="61"/>
    </row>
    <row r="6" spans="1:16" ht="20.100000000000001" customHeight="1" x14ac:dyDescent="0.25">
      <c r="A6" s="59" t="s">
        <v>3</v>
      </c>
      <c r="B6" s="59"/>
      <c r="C6" s="59"/>
      <c r="D6" s="59"/>
      <c r="E6" s="59"/>
      <c r="F6" s="59"/>
      <c r="G6" s="64"/>
      <c r="H6" s="65"/>
      <c r="I6" s="66"/>
      <c r="J6" s="66"/>
      <c r="K6" s="64"/>
      <c r="L6" s="64"/>
      <c r="M6" s="64"/>
      <c r="N6" s="64"/>
      <c r="O6" s="64"/>
      <c r="P6" s="61"/>
    </row>
    <row r="7" spans="1:16" ht="20.100000000000001" customHeight="1" x14ac:dyDescent="0.25">
      <c r="A7" s="59" t="s">
        <v>4</v>
      </c>
      <c r="B7" s="59"/>
      <c r="C7" s="59"/>
      <c r="D7" s="59"/>
      <c r="E7" s="59"/>
      <c r="F7" s="59"/>
      <c r="G7" s="64"/>
      <c r="H7" s="65"/>
      <c r="I7" s="66"/>
      <c r="J7" s="66"/>
      <c r="K7" s="64"/>
      <c r="L7" s="64"/>
      <c r="M7" s="64"/>
      <c r="N7" s="64"/>
      <c r="O7" s="64"/>
      <c r="P7" s="61"/>
    </row>
    <row r="8" spans="1:16" ht="20.100000000000001" customHeight="1" x14ac:dyDescent="0.25">
      <c r="A8" s="10"/>
      <c r="B8" s="10"/>
      <c r="C8" s="10"/>
      <c r="D8" s="10"/>
      <c r="E8" s="10"/>
      <c r="F8" s="10"/>
      <c r="G8" s="64"/>
      <c r="H8" s="65"/>
      <c r="I8" s="66"/>
      <c r="J8" s="66"/>
      <c r="K8" s="64"/>
      <c r="L8" s="64"/>
      <c r="M8" s="64"/>
      <c r="N8" s="64"/>
      <c r="O8" s="64"/>
      <c r="P8" s="61"/>
    </row>
    <row r="9" spans="1:16" ht="15.75" customHeight="1" x14ac:dyDescent="0.25">
      <c r="A9" s="56" t="s">
        <v>5</v>
      </c>
      <c r="B9" s="56"/>
      <c r="C9" s="56"/>
      <c r="D9" s="56"/>
      <c r="E9" s="56"/>
      <c r="F9" s="56"/>
      <c r="G9" s="64"/>
      <c r="H9" s="65"/>
      <c r="I9" s="66"/>
      <c r="J9" s="66"/>
      <c r="K9" s="64"/>
      <c r="L9" s="64"/>
      <c r="M9" s="64"/>
      <c r="N9" s="64"/>
      <c r="O9" s="64"/>
      <c r="P9" s="61"/>
    </row>
    <row r="10" spans="1:16" x14ac:dyDescent="0.25">
      <c r="A10" s="56"/>
      <c r="B10" s="56"/>
      <c r="C10" s="56"/>
      <c r="D10" s="56"/>
      <c r="E10" s="56"/>
      <c r="F10" s="56"/>
      <c r="G10" s="64"/>
      <c r="H10" s="65"/>
      <c r="I10" s="66"/>
      <c r="J10" s="66"/>
      <c r="K10" s="64"/>
      <c r="L10" s="64"/>
      <c r="M10" s="64"/>
      <c r="N10" s="64"/>
      <c r="O10" s="64"/>
      <c r="P10" s="61"/>
    </row>
    <row r="11" spans="1:16" ht="28.5" customHeight="1" x14ac:dyDescent="0.25">
      <c r="A11" s="11" t="s">
        <v>6</v>
      </c>
      <c r="B11" s="12">
        <v>44926</v>
      </c>
      <c r="C11" s="12">
        <v>44561</v>
      </c>
      <c r="D11" s="13" t="s">
        <v>7</v>
      </c>
      <c r="E11" s="12">
        <v>44926</v>
      </c>
      <c r="F11" s="12">
        <v>44561</v>
      </c>
      <c r="G11" s="64"/>
      <c r="H11" s="65"/>
      <c r="I11" s="66"/>
      <c r="J11" s="66"/>
      <c r="K11" s="64"/>
      <c r="L11" s="67"/>
      <c r="M11" s="67"/>
      <c r="N11" s="64"/>
      <c r="O11" s="64"/>
      <c r="P11" s="61"/>
    </row>
    <row r="12" spans="1:16" ht="34.5" x14ac:dyDescent="0.25">
      <c r="A12" s="14" t="s">
        <v>8</v>
      </c>
      <c r="B12" s="15">
        <v>0</v>
      </c>
      <c r="C12" s="15">
        <v>0</v>
      </c>
      <c r="D12" s="14" t="s">
        <v>9</v>
      </c>
      <c r="E12" s="16"/>
      <c r="F12" s="16"/>
      <c r="G12" s="64"/>
      <c r="H12" s="65"/>
      <c r="I12" s="66"/>
      <c r="J12" s="66"/>
      <c r="K12" s="64"/>
      <c r="L12" s="68"/>
      <c r="M12" s="68"/>
      <c r="N12" s="64"/>
      <c r="O12" s="64"/>
      <c r="P12" s="61"/>
    </row>
    <row r="13" spans="1:16" ht="23.25" customHeight="1" x14ac:dyDescent="0.25">
      <c r="A13" s="17" t="s">
        <v>10</v>
      </c>
      <c r="B13" s="18"/>
      <c r="C13" s="18"/>
      <c r="D13" s="14" t="s">
        <v>11</v>
      </c>
      <c r="E13" s="19">
        <f>348656.24-4741.14</f>
        <v>343915.1</v>
      </c>
      <c r="F13" s="19">
        <f>348656.24-4741.14</f>
        <v>343915.1</v>
      </c>
      <c r="G13" s="65"/>
      <c r="H13" s="65"/>
      <c r="I13" s="66"/>
      <c r="J13" s="66"/>
      <c r="K13" s="64"/>
      <c r="L13" s="69"/>
      <c r="M13" s="70"/>
      <c r="N13" s="64"/>
      <c r="O13" s="64"/>
      <c r="P13" s="61"/>
    </row>
    <row r="14" spans="1:16" ht="23.25" x14ac:dyDescent="0.25">
      <c r="A14" s="20" t="s">
        <v>12</v>
      </c>
      <c r="B14" s="18"/>
      <c r="C14" s="18"/>
      <c r="D14" s="14" t="s">
        <v>13</v>
      </c>
      <c r="E14" s="19">
        <f>SUM(E15:E17)</f>
        <v>443559.24</v>
      </c>
      <c r="F14" s="19">
        <f>SUM(F15:F17)</f>
        <v>289042.82</v>
      </c>
      <c r="G14" s="64"/>
      <c r="H14" s="65"/>
      <c r="I14" s="66"/>
      <c r="J14" s="66"/>
      <c r="K14" s="64"/>
      <c r="L14" s="69"/>
      <c r="M14" s="70"/>
      <c r="N14" s="64"/>
      <c r="O14" s="65"/>
      <c r="P14" s="61"/>
    </row>
    <row r="15" spans="1:16" x14ac:dyDescent="0.25">
      <c r="A15" s="17" t="s">
        <v>14</v>
      </c>
      <c r="B15" s="15">
        <f>SUM(B16:B21)</f>
        <v>165579.08999999997</v>
      </c>
      <c r="C15" s="15">
        <f>SUM(C16:C21)</f>
        <v>112849.37</v>
      </c>
      <c r="D15" s="21" t="s">
        <v>15</v>
      </c>
      <c r="E15" s="16">
        <f>38973.4+(54.74*20%)+(519.09*20%)+(1210.7*20%)+(154516.42*20%)</f>
        <v>70233.59</v>
      </c>
      <c r="F15" s="16">
        <f>38973.4+(54.74*20%)+(519.09*20%)+(1210.7*20%)</f>
        <v>39330.305999999997</v>
      </c>
      <c r="G15" s="64"/>
      <c r="H15" s="62"/>
      <c r="I15" s="66"/>
      <c r="J15" s="66"/>
      <c r="K15" s="64"/>
      <c r="L15" s="70"/>
      <c r="M15" s="70"/>
      <c r="N15" s="64"/>
      <c r="O15" s="65"/>
      <c r="P15" s="61"/>
    </row>
    <row r="16" spans="1:16" ht="23.25" x14ac:dyDescent="0.25">
      <c r="A16" s="20" t="s">
        <v>16</v>
      </c>
      <c r="B16" s="18"/>
      <c r="C16" s="18"/>
      <c r="D16" s="21" t="s">
        <v>17</v>
      </c>
      <c r="E16" s="16">
        <f>248284.89+(54.74*80%)+(519.09*80%)+(1210.7*80%)+(154516.42*80%)</f>
        <v>373325.65</v>
      </c>
      <c r="F16" s="16">
        <f>248284.89+(54.74*80%)+(519.09*80%)+(1210.7*80%)</f>
        <v>249712.514</v>
      </c>
      <c r="G16" s="65"/>
      <c r="H16" s="65"/>
      <c r="I16" s="66"/>
      <c r="J16" s="66"/>
      <c r="K16" s="64"/>
      <c r="L16" s="69"/>
      <c r="M16" s="69"/>
      <c r="N16" s="64"/>
      <c r="O16" s="64"/>
      <c r="P16" s="61"/>
    </row>
    <row r="17" spans="1:16" x14ac:dyDescent="0.25">
      <c r="A17" s="20" t="s">
        <v>18</v>
      </c>
      <c r="B17" s="18"/>
      <c r="C17" s="18"/>
      <c r="D17" s="21" t="s">
        <v>19</v>
      </c>
      <c r="E17" s="16"/>
      <c r="F17" s="16"/>
      <c r="G17" s="64"/>
      <c r="H17" s="65"/>
      <c r="I17" s="66"/>
      <c r="J17" s="66"/>
      <c r="K17" s="64"/>
      <c r="L17" s="69"/>
      <c r="M17" s="69"/>
      <c r="N17" s="64"/>
      <c r="O17" s="64"/>
      <c r="P17" s="61"/>
    </row>
    <row r="18" spans="1:16" ht="23.25" x14ac:dyDescent="0.25">
      <c r="A18" s="20" t="s">
        <v>20</v>
      </c>
      <c r="B18" s="18"/>
      <c r="C18" s="18"/>
      <c r="D18" s="14" t="s">
        <v>21</v>
      </c>
      <c r="E18" s="19">
        <f>E19</f>
        <v>0</v>
      </c>
      <c r="F18" s="19">
        <f>F19</f>
        <v>0</v>
      </c>
      <c r="G18" s="65"/>
      <c r="H18" s="65"/>
      <c r="I18" s="66"/>
      <c r="J18" s="66"/>
      <c r="K18" s="64"/>
      <c r="L18" s="69"/>
      <c r="M18" s="69"/>
      <c r="N18" s="64"/>
      <c r="O18" s="64"/>
      <c r="P18" s="61"/>
    </row>
    <row r="19" spans="1:16" ht="23.25" x14ac:dyDescent="0.25">
      <c r="A19" s="20" t="s">
        <v>22</v>
      </c>
      <c r="B19" s="22">
        <f>25644.56-24787.39</f>
        <v>857.17000000000189</v>
      </c>
      <c r="C19" s="22">
        <f>25644.56-23930.23</f>
        <v>1714.3300000000017</v>
      </c>
      <c r="D19" s="21" t="s">
        <v>23</v>
      </c>
      <c r="E19" s="16">
        <v>0</v>
      </c>
      <c r="F19" s="16">
        <v>0</v>
      </c>
      <c r="G19" s="64"/>
      <c r="H19" s="65"/>
      <c r="I19" s="66"/>
      <c r="J19" s="66"/>
      <c r="K19" s="64"/>
      <c r="L19" s="69"/>
      <c r="M19" s="69"/>
      <c r="N19" s="64"/>
      <c r="O19" s="64"/>
      <c r="P19" s="61"/>
    </row>
    <row r="20" spans="1:16" ht="23.25" x14ac:dyDescent="0.25">
      <c r="A20" s="20" t="s">
        <v>24</v>
      </c>
      <c r="B20" s="18">
        <f>44118.52-18672.2</f>
        <v>25446.319999999996</v>
      </c>
      <c r="C20" s="18">
        <f>44118.52-9848.5</f>
        <v>34270.019999999997</v>
      </c>
      <c r="D20" s="14" t="s">
        <v>25</v>
      </c>
      <c r="E20" s="19">
        <f>20266.5+20860</f>
        <v>41126.5</v>
      </c>
      <c r="F20" s="19">
        <f>20266.5+20860</f>
        <v>41126.5</v>
      </c>
      <c r="G20" s="66"/>
      <c r="H20" s="65"/>
      <c r="I20" s="66"/>
      <c r="J20" s="66"/>
      <c r="K20" s="64"/>
      <c r="L20" s="69"/>
      <c r="M20" s="70"/>
      <c r="N20" s="64"/>
      <c r="O20" s="64"/>
      <c r="P20" s="61"/>
    </row>
    <row r="21" spans="1:16" ht="23.25" x14ac:dyDescent="0.25">
      <c r="A21" s="20" t="s">
        <v>26</v>
      </c>
      <c r="B21" s="18">
        <f>28153.42+48711.6+62730.58-320</f>
        <v>139275.59999999998</v>
      </c>
      <c r="C21" s="18">
        <v>76865.02</v>
      </c>
      <c r="D21" s="14" t="s">
        <v>27</v>
      </c>
      <c r="E21" s="16">
        <v>0</v>
      </c>
      <c r="F21" s="16">
        <v>0</v>
      </c>
      <c r="G21" s="65"/>
      <c r="H21" s="65"/>
      <c r="I21" s="66"/>
      <c r="J21" s="71"/>
      <c r="K21" s="71"/>
      <c r="L21" s="69"/>
      <c r="M21" s="69"/>
      <c r="N21" s="64"/>
      <c r="O21" s="64"/>
      <c r="P21" s="61"/>
    </row>
    <row r="22" spans="1:16" x14ac:dyDescent="0.25">
      <c r="A22" s="17" t="s">
        <v>28</v>
      </c>
      <c r="B22" s="15">
        <f>SUM(B24:B35)</f>
        <v>1320781.82</v>
      </c>
      <c r="C22" s="15">
        <f>SUM(C24:C35)</f>
        <v>1316525.32</v>
      </c>
      <c r="D22" s="14" t="s">
        <v>29</v>
      </c>
      <c r="E22" s="19">
        <v>283734.76</v>
      </c>
      <c r="F22" s="19">
        <v>154516.42000000001</v>
      </c>
      <c r="G22" s="64"/>
      <c r="H22" s="65"/>
      <c r="I22" s="66"/>
      <c r="J22" s="66"/>
      <c r="K22" s="71"/>
      <c r="L22" s="70"/>
      <c r="M22" s="70"/>
      <c r="N22" s="64"/>
      <c r="O22" s="64"/>
      <c r="P22" s="61"/>
    </row>
    <row r="23" spans="1:16" x14ac:dyDescent="0.25">
      <c r="A23" s="20" t="s">
        <v>30</v>
      </c>
      <c r="B23" s="18"/>
      <c r="C23" s="18"/>
      <c r="D23" s="23" t="s">
        <v>31</v>
      </c>
      <c r="E23" s="24">
        <f>E13+E14+E20+E21+E22</f>
        <v>1112335.6000000001</v>
      </c>
      <c r="F23" s="24">
        <f>F13+F14+F20+F21+F22</f>
        <v>828600.84</v>
      </c>
      <c r="G23" s="64"/>
      <c r="H23" s="65"/>
      <c r="I23" s="66"/>
      <c r="J23" s="66"/>
      <c r="K23" s="69"/>
      <c r="L23" s="69"/>
      <c r="M23" s="70"/>
      <c r="N23" s="64"/>
      <c r="O23" s="64"/>
      <c r="P23" s="61"/>
    </row>
    <row r="24" spans="1:16" x14ac:dyDescent="0.25">
      <c r="A24" s="25" t="s">
        <v>32</v>
      </c>
      <c r="B24" s="22">
        <f>55342.52+12670.83+24377.91+20266.5+20860</f>
        <v>133517.76000000001</v>
      </c>
      <c r="C24" s="22">
        <f>55342.52+12670.83+24377.91+20266.5+20860</f>
        <v>133517.76000000001</v>
      </c>
      <c r="D24" s="14"/>
      <c r="E24" s="16"/>
      <c r="F24" s="16"/>
      <c r="G24" s="61"/>
      <c r="H24" s="62"/>
      <c r="I24" s="63"/>
      <c r="J24" s="63"/>
      <c r="K24" s="61"/>
      <c r="L24" s="72"/>
      <c r="M24" s="72"/>
      <c r="N24" s="64"/>
      <c r="O24" s="64"/>
      <c r="P24" s="61"/>
    </row>
    <row r="25" spans="1:16" ht="23.25" x14ac:dyDescent="0.25">
      <c r="A25" s="25" t="s">
        <v>33</v>
      </c>
      <c r="B25" s="22">
        <f>(693403.92+667758.04+222173.17+250310.96)-(377905.16+347257.76+34274.44+56069.19+1912.96+1405.88+15015.63+1900+32.45)</f>
        <v>997872.62000000011</v>
      </c>
      <c r="C25" s="22">
        <f>(693403.92+636004.93+222173.17+250310.96)-799100.54</f>
        <v>1002792.44</v>
      </c>
      <c r="D25" s="14" t="s">
        <v>34</v>
      </c>
      <c r="E25" s="16"/>
      <c r="F25" s="16"/>
      <c r="G25" s="65"/>
      <c r="H25" s="65"/>
      <c r="I25" s="66"/>
      <c r="J25" s="66"/>
      <c r="K25" s="69"/>
      <c r="L25" s="69"/>
      <c r="M25" s="69"/>
      <c r="N25" s="64"/>
      <c r="O25" s="64"/>
      <c r="P25" s="61"/>
    </row>
    <row r="26" spans="1:16" ht="23.25" x14ac:dyDescent="0.25">
      <c r="A26" s="20" t="s">
        <v>35</v>
      </c>
      <c r="B26" s="22">
        <f>129377.52+51080.05-37161.98-12162.34</f>
        <v>131133.25</v>
      </c>
      <c r="C26" s="22">
        <f>128553.46+17886.89-41199.46</f>
        <v>105240.89000000001</v>
      </c>
      <c r="D26" s="21" t="s">
        <v>36</v>
      </c>
      <c r="E26" s="16">
        <v>0</v>
      </c>
      <c r="F26" s="16">
        <v>0</v>
      </c>
      <c r="G26" s="61"/>
      <c r="H26" s="62"/>
      <c r="I26" s="63"/>
      <c r="J26" s="63"/>
      <c r="K26" s="61"/>
      <c r="L26" s="72"/>
      <c r="M26" s="72"/>
      <c r="N26" s="64"/>
      <c r="O26" s="64"/>
      <c r="P26" s="61"/>
    </row>
    <row r="27" spans="1:16" ht="23.25" x14ac:dyDescent="0.25">
      <c r="A27" s="20" t="s">
        <v>37</v>
      </c>
      <c r="B27" s="22">
        <f>128524.93+45124.4+23950.04+30332.63-110911.22-45124.4-7970.83-28319.63</f>
        <v>35605.919999999998</v>
      </c>
      <c r="C27" s="22">
        <f>128018.51+45124.4+19228.89+30332.63-101779.03-45124.4-3260.42-26306.63</f>
        <v>46233.95</v>
      </c>
      <c r="D27" s="21" t="s">
        <v>38</v>
      </c>
      <c r="E27" s="16">
        <f>13701.66+3738.06</f>
        <v>17439.72</v>
      </c>
      <c r="F27" s="16">
        <v>20643.82</v>
      </c>
      <c r="G27" s="65"/>
      <c r="H27" s="65"/>
      <c r="I27" s="66"/>
      <c r="J27" s="66"/>
      <c r="K27" s="69"/>
      <c r="L27" s="69"/>
      <c r="M27" s="69"/>
      <c r="N27" s="64"/>
      <c r="O27" s="64"/>
      <c r="P27" s="61"/>
    </row>
    <row r="28" spans="1:16" ht="23.25" x14ac:dyDescent="0.25">
      <c r="A28" s="20" t="s">
        <v>39</v>
      </c>
      <c r="B28" s="18"/>
      <c r="C28" s="18"/>
      <c r="D28" s="21" t="s">
        <v>40</v>
      </c>
      <c r="E28" s="16">
        <v>0</v>
      </c>
      <c r="F28" s="16">
        <v>0</v>
      </c>
      <c r="G28" s="61"/>
      <c r="H28" s="62"/>
      <c r="I28" s="66"/>
      <c r="J28" s="66"/>
      <c r="K28" s="69"/>
      <c r="L28" s="69"/>
      <c r="M28" s="69"/>
      <c r="N28" s="64"/>
      <c r="O28" s="64"/>
      <c r="P28" s="61"/>
    </row>
    <row r="29" spans="1:16" x14ac:dyDescent="0.25">
      <c r="A29" s="26" t="s">
        <v>41</v>
      </c>
      <c r="B29" s="18"/>
      <c r="C29" s="18"/>
      <c r="D29" s="21" t="s">
        <v>42</v>
      </c>
      <c r="E29" s="27"/>
      <c r="F29" s="27"/>
      <c r="G29" s="64"/>
      <c r="H29" s="65"/>
      <c r="I29" s="66"/>
      <c r="J29" s="66"/>
      <c r="K29" s="69"/>
      <c r="L29" s="69"/>
      <c r="M29" s="69"/>
      <c r="N29" s="64"/>
      <c r="O29" s="64"/>
      <c r="P29" s="61"/>
    </row>
    <row r="30" spans="1:16" ht="23.25" x14ac:dyDescent="0.25">
      <c r="A30" s="28" t="s">
        <v>43</v>
      </c>
      <c r="B30" s="22">
        <f>(59441.83+85891.52+23159.97)-(58010.77+77540.88+19193.46)</f>
        <v>13748.210000000021</v>
      </c>
      <c r="C30" s="22">
        <f>(59441.83+23159.97+85891.52)-(57842.41+18355.49+75174.16)</f>
        <v>17121.260000000009</v>
      </c>
      <c r="D30" s="21" t="s">
        <v>44</v>
      </c>
      <c r="E30" s="16">
        <v>21551</v>
      </c>
      <c r="F30" s="16">
        <v>21551</v>
      </c>
      <c r="G30" s="62"/>
      <c r="H30" s="62"/>
      <c r="I30" s="63"/>
      <c r="J30" s="63"/>
      <c r="K30" s="61"/>
      <c r="L30" s="72"/>
      <c r="M30" s="72"/>
      <c r="N30" s="64"/>
      <c r="O30" s="64"/>
      <c r="P30" s="61"/>
    </row>
    <row r="31" spans="1:16" x14ac:dyDescent="0.25">
      <c r="A31" s="28" t="s">
        <v>45</v>
      </c>
      <c r="B31" s="22">
        <f>7108.89-7108.89</f>
        <v>0</v>
      </c>
      <c r="C31" s="22">
        <f>7108.89-6421.78</f>
        <v>687.11000000000058</v>
      </c>
      <c r="D31" s="21" t="s">
        <v>46</v>
      </c>
      <c r="E31" s="16">
        <v>0</v>
      </c>
      <c r="F31" s="16">
        <v>0</v>
      </c>
      <c r="G31" s="61"/>
      <c r="H31" s="62"/>
      <c r="I31" s="63"/>
      <c r="J31" s="63"/>
      <c r="K31" s="61"/>
      <c r="L31" s="72"/>
      <c r="M31" s="72"/>
      <c r="N31" s="64"/>
      <c r="O31" s="64"/>
      <c r="P31" s="61"/>
    </row>
    <row r="32" spans="1:16" ht="23.25" x14ac:dyDescent="0.25">
      <c r="A32" s="26" t="s">
        <v>47</v>
      </c>
      <c r="B32" s="18">
        <f>2847.97-1423.98</f>
        <v>1423.9899999999998</v>
      </c>
      <c r="C32" s="18">
        <f>2847.97-854.39</f>
        <v>1993.58</v>
      </c>
      <c r="D32" s="21" t="s">
        <v>48</v>
      </c>
      <c r="E32" s="16">
        <v>11792</v>
      </c>
      <c r="F32" s="16">
        <v>11792</v>
      </c>
      <c r="G32" s="65"/>
      <c r="H32" s="65"/>
      <c r="I32" s="66"/>
      <c r="J32" s="66"/>
      <c r="K32" s="69"/>
      <c r="L32" s="69"/>
      <c r="M32" s="69"/>
      <c r="N32" s="64"/>
      <c r="O32" s="64"/>
      <c r="P32" s="61"/>
    </row>
    <row r="33" spans="1:16" x14ac:dyDescent="0.25">
      <c r="A33" s="26" t="s">
        <v>49</v>
      </c>
      <c r="B33" s="18">
        <v>0</v>
      </c>
      <c r="C33" s="18">
        <v>0</v>
      </c>
      <c r="D33" s="21" t="s">
        <v>50</v>
      </c>
      <c r="E33" s="16">
        <f>129645.33+11000</f>
        <v>140645.33000000002</v>
      </c>
      <c r="F33" s="16">
        <v>129645.33</v>
      </c>
      <c r="G33" s="65"/>
      <c r="H33" s="65"/>
      <c r="I33" s="66"/>
      <c r="J33" s="66"/>
      <c r="K33" s="69"/>
      <c r="L33" s="69"/>
      <c r="M33" s="69"/>
      <c r="N33" s="64"/>
      <c r="O33" s="64"/>
      <c r="P33" s="61"/>
    </row>
    <row r="34" spans="1:16" x14ac:dyDescent="0.25">
      <c r="A34" s="28" t="s">
        <v>51</v>
      </c>
      <c r="B34" s="22">
        <f>88084.62+11811.17-81086.56-11329.16</f>
        <v>7480.0699999999961</v>
      </c>
      <c r="C34" s="22">
        <f>84485.44+11811.17-76554.91-10803.37</f>
        <v>8938.3299999999963</v>
      </c>
      <c r="D34" s="21" t="s">
        <v>52</v>
      </c>
      <c r="E34" s="16">
        <v>0</v>
      </c>
      <c r="F34" s="16">
        <v>0</v>
      </c>
      <c r="G34" s="61"/>
      <c r="H34" s="62"/>
      <c r="I34" s="63"/>
      <c r="J34" s="63"/>
      <c r="K34" s="61"/>
      <c r="L34" s="72"/>
      <c r="M34" s="72"/>
      <c r="N34" s="61"/>
      <c r="O34" s="64"/>
      <c r="P34" s="61"/>
    </row>
    <row r="35" spans="1:16" ht="23.25" x14ac:dyDescent="0.25">
      <c r="A35" s="20" t="s">
        <v>53</v>
      </c>
      <c r="B35" s="22"/>
      <c r="C35" s="22"/>
      <c r="D35" s="21" t="s">
        <v>54</v>
      </c>
      <c r="E35" s="16">
        <v>32642.73</v>
      </c>
      <c r="F35" s="16">
        <v>17860.39</v>
      </c>
      <c r="G35" s="61"/>
      <c r="H35" s="62"/>
      <c r="I35" s="63"/>
      <c r="J35" s="63"/>
      <c r="K35" s="61"/>
      <c r="L35" s="72"/>
      <c r="M35" s="72"/>
      <c r="N35" s="61"/>
      <c r="O35" s="64"/>
      <c r="P35" s="61"/>
    </row>
    <row r="36" spans="1:16" ht="23.25" x14ac:dyDescent="0.25">
      <c r="A36" s="17" t="s">
        <v>55</v>
      </c>
      <c r="B36" s="15">
        <f>SUM(B39:B40)</f>
        <v>0</v>
      </c>
      <c r="C36" s="15">
        <f>SUM(C39:C40)</f>
        <v>0</v>
      </c>
      <c r="D36" s="21" t="s">
        <v>56</v>
      </c>
      <c r="E36" s="16">
        <v>68846.929999999993</v>
      </c>
      <c r="F36" s="16">
        <v>102064.72</v>
      </c>
      <c r="G36" s="65"/>
      <c r="H36" s="65"/>
      <c r="I36" s="66"/>
      <c r="J36" s="66"/>
      <c r="K36" s="69"/>
      <c r="L36" s="69"/>
      <c r="M36" s="69"/>
      <c r="N36" s="64"/>
      <c r="O36" s="64"/>
      <c r="P36" s="61"/>
    </row>
    <row r="37" spans="1:16" ht="45.75" x14ac:dyDescent="0.25">
      <c r="A37" s="20" t="s">
        <v>57</v>
      </c>
      <c r="B37" s="18"/>
      <c r="C37" s="18"/>
      <c r="D37" s="23" t="s">
        <v>58</v>
      </c>
      <c r="E37" s="24">
        <f>SUM(E27:E36)</f>
        <v>292917.71000000002</v>
      </c>
      <c r="F37" s="24">
        <f>SUM(F27:F36)</f>
        <v>303557.26</v>
      </c>
      <c r="G37" s="65"/>
      <c r="H37" s="65"/>
      <c r="I37" s="66"/>
      <c r="J37" s="71"/>
      <c r="K37" s="71"/>
      <c r="L37" s="69"/>
      <c r="M37" s="70"/>
      <c r="N37" s="64"/>
      <c r="O37" s="64"/>
      <c r="P37" s="61"/>
    </row>
    <row r="38" spans="1:16" x14ac:dyDescent="0.25">
      <c r="A38" s="29" t="s">
        <v>59</v>
      </c>
      <c r="B38" s="18">
        <v>0</v>
      </c>
      <c r="C38" s="18">
        <v>0</v>
      </c>
      <c r="D38" s="18"/>
      <c r="E38" s="18"/>
      <c r="F38" s="18"/>
      <c r="G38" s="64"/>
      <c r="H38" s="65"/>
      <c r="I38" s="66"/>
      <c r="J38" s="66"/>
      <c r="K38" s="64"/>
      <c r="L38" s="69"/>
      <c r="M38" s="69"/>
      <c r="N38" s="64"/>
      <c r="O38" s="64"/>
      <c r="P38" s="61"/>
    </row>
    <row r="39" spans="1:16" ht="22.5" x14ac:dyDescent="0.25">
      <c r="A39" s="20" t="s">
        <v>60</v>
      </c>
      <c r="B39" s="18">
        <v>0</v>
      </c>
      <c r="C39" s="18">
        <v>0</v>
      </c>
      <c r="D39" s="30" t="s">
        <v>61</v>
      </c>
      <c r="E39" s="31"/>
      <c r="F39" s="31"/>
      <c r="G39" s="64"/>
      <c r="H39" s="65"/>
      <c r="I39" s="66"/>
      <c r="J39" s="66"/>
      <c r="K39" s="64"/>
      <c r="L39" s="69"/>
      <c r="M39" s="69"/>
      <c r="N39" s="64"/>
      <c r="O39" s="64"/>
      <c r="P39" s="61"/>
    </row>
    <row r="40" spans="1:16" x14ac:dyDescent="0.25">
      <c r="A40" s="32" t="s">
        <v>62</v>
      </c>
      <c r="B40" s="18">
        <v>0</v>
      </c>
      <c r="C40" s="18">
        <v>0</v>
      </c>
      <c r="D40" s="21"/>
      <c r="E40" s="16"/>
      <c r="F40" s="16"/>
      <c r="G40" s="64"/>
      <c r="H40" s="65"/>
      <c r="I40" s="66"/>
      <c r="J40" s="66"/>
      <c r="K40" s="64"/>
      <c r="L40" s="69"/>
      <c r="M40" s="69"/>
      <c r="N40" s="64"/>
      <c r="O40" s="64"/>
      <c r="P40" s="61"/>
    </row>
    <row r="41" spans="1:16" x14ac:dyDescent="0.25">
      <c r="A41" s="33" t="s">
        <v>63</v>
      </c>
      <c r="B41" s="34">
        <f>B15+B22+B36</f>
        <v>1486360.9100000001</v>
      </c>
      <c r="C41" s="34">
        <f>C15+C22+C36</f>
        <v>1429374.69</v>
      </c>
      <c r="D41" s="14" t="s">
        <v>64</v>
      </c>
      <c r="E41" s="16"/>
      <c r="F41" s="16"/>
      <c r="G41" s="65"/>
      <c r="H41" s="65"/>
      <c r="I41" s="66"/>
      <c r="J41" s="66"/>
      <c r="K41" s="64"/>
      <c r="L41" s="70"/>
      <c r="M41" s="70"/>
      <c r="N41" s="64"/>
      <c r="O41" s="64"/>
      <c r="P41" s="61"/>
    </row>
    <row r="42" spans="1:16" ht="33.75" x14ac:dyDescent="0.25">
      <c r="A42" s="17" t="s">
        <v>65</v>
      </c>
      <c r="B42" s="18"/>
      <c r="C42" s="18"/>
      <c r="D42" s="35" t="s">
        <v>66</v>
      </c>
      <c r="E42" s="16"/>
      <c r="F42" s="16"/>
      <c r="G42" s="64"/>
      <c r="H42" s="65"/>
      <c r="I42" s="66"/>
      <c r="J42" s="66"/>
      <c r="K42" s="64"/>
      <c r="L42" s="69"/>
      <c r="M42" s="69"/>
      <c r="N42" s="64"/>
      <c r="O42" s="64"/>
      <c r="P42" s="61"/>
    </row>
    <row r="43" spans="1:16" x14ac:dyDescent="0.25">
      <c r="A43" s="17" t="s">
        <v>67</v>
      </c>
      <c r="B43" s="15">
        <f>SUM(B44:B49)</f>
        <v>11407.28</v>
      </c>
      <c r="C43" s="15">
        <f>SUM(C44:C49)</f>
        <v>12158.25</v>
      </c>
      <c r="D43" s="21" t="s">
        <v>68</v>
      </c>
      <c r="E43" s="16"/>
      <c r="F43" s="16"/>
      <c r="G43" s="64"/>
      <c r="H43" s="65"/>
      <c r="I43" s="66"/>
      <c r="J43" s="66"/>
      <c r="K43" s="64"/>
      <c r="L43" s="70"/>
      <c r="M43" s="69"/>
      <c r="N43" s="64"/>
      <c r="O43" s="64"/>
      <c r="P43" s="61"/>
    </row>
    <row r="44" spans="1:16" ht="23.25" x14ac:dyDescent="0.25">
      <c r="A44" s="20" t="s">
        <v>69</v>
      </c>
      <c r="B44" s="18">
        <v>0</v>
      </c>
      <c r="C44" s="18">
        <v>0</v>
      </c>
      <c r="D44" s="21" t="s">
        <v>70</v>
      </c>
      <c r="E44" s="16"/>
      <c r="F44" s="16"/>
      <c r="G44" s="64"/>
      <c r="H44" s="65"/>
      <c r="I44" s="66"/>
      <c r="J44" s="66"/>
      <c r="K44" s="64"/>
      <c r="L44" s="69"/>
      <c r="M44" s="69"/>
      <c r="N44" s="64"/>
      <c r="O44" s="64"/>
      <c r="P44" s="61"/>
    </row>
    <row r="45" spans="1:16" ht="23.25" x14ac:dyDescent="0.25">
      <c r="A45" s="21" t="s">
        <v>71</v>
      </c>
      <c r="B45" s="18">
        <v>0</v>
      </c>
      <c r="C45" s="18">
        <v>0</v>
      </c>
      <c r="D45" s="21" t="s">
        <v>72</v>
      </c>
      <c r="E45" s="16"/>
      <c r="F45" s="16"/>
      <c r="G45" s="64"/>
      <c r="H45" s="65"/>
      <c r="I45" s="66"/>
      <c r="J45" s="66"/>
      <c r="K45" s="64"/>
      <c r="L45" s="69"/>
      <c r="M45" s="69"/>
      <c r="N45" s="64"/>
      <c r="O45" s="64"/>
      <c r="P45" s="61"/>
    </row>
    <row r="46" spans="1:16" x14ac:dyDescent="0.25">
      <c r="A46" s="21" t="s">
        <v>73</v>
      </c>
      <c r="B46" s="18">
        <v>0</v>
      </c>
      <c r="C46" s="18">
        <v>0</v>
      </c>
      <c r="D46" s="21" t="s">
        <v>74</v>
      </c>
      <c r="E46" s="16"/>
      <c r="F46" s="16"/>
      <c r="G46" s="64"/>
      <c r="H46" s="65"/>
      <c r="I46" s="66"/>
      <c r="J46" s="66"/>
      <c r="K46" s="64"/>
      <c r="L46" s="69"/>
      <c r="M46" s="69"/>
      <c r="N46" s="64"/>
      <c r="O46" s="64"/>
      <c r="P46" s="61"/>
    </row>
    <row r="47" spans="1:16" x14ac:dyDescent="0.25">
      <c r="A47" s="21" t="s">
        <v>75</v>
      </c>
      <c r="B47" s="18">
        <v>11407.28</v>
      </c>
      <c r="C47" s="18">
        <v>12158.25</v>
      </c>
      <c r="D47" s="21" t="s">
        <v>70</v>
      </c>
      <c r="E47" s="16">
        <v>0</v>
      </c>
      <c r="F47" s="16">
        <v>0</v>
      </c>
      <c r="G47" s="64"/>
      <c r="H47" s="65"/>
      <c r="I47" s="66"/>
      <c r="J47" s="66"/>
      <c r="K47" s="64"/>
      <c r="L47" s="69"/>
      <c r="M47" s="69"/>
      <c r="N47" s="64"/>
      <c r="O47" s="61"/>
      <c r="P47" s="61"/>
    </row>
    <row r="48" spans="1:16" x14ac:dyDescent="0.25">
      <c r="A48" s="20" t="s">
        <v>76</v>
      </c>
      <c r="B48" s="18"/>
      <c r="C48" s="18"/>
      <c r="D48" s="21" t="s">
        <v>72</v>
      </c>
      <c r="E48" s="16"/>
      <c r="F48" s="16"/>
      <c r="G48" s="64"/>
      <c r="H48" s="62"/>
      <c r="I48" s="63"/>
      <c r="J48" s="66"/>
      <c r="K48" s="64"/>
      <c r="L48" s="69"/>
      <c r="M48" s="69"/>
      <c r="N48" s="64"/>
      <c r="O48" s="61"/>
      <c r="P48" s="61"/>
    </row>
    <row r="49" spans="1:16" ht="23.25" x14ac:dyDescent="0.25">
      <c r="A49" s="20" t="s">
        <v>77</v>
      </c>
      <c r="B49" s="18">
        <v>0</v>
      </c>
      <c r="C49" s="18">
        <v>0</v>
      </c>
      <c r="D49" s="21" t="s">
        <v>78</v>
      </c>
      <c r="E49" s="16">
        <v>0</v>
      </c>
      <c r="F49" s="16">
        <v>0</v>
      </c>
      <c r="G49" s="64"/>
      <c r="H49" s="62"/>
      <c r="I49" s="63"/>
      <c r="J49" s="66"/>
      <c r="K49" s="64"/>
      <c r="L49" s="69"/>
      <c r="M49" s="69"/>
      <c r="N49" s="61"/>
      <c r="O49" s="61"/>
      <c r="P49" s="61"/>
    </row>
    <row r="50" spans="1:16" ht="12.75" customHeight="1" x14ac:dyDescent="0.25">
      <c r="A50" s="17" t="s">
        <v>79</v>
      </c>
      <c r="B50" s="15">
        <f>SUM(B53:B67)</f>
        <v>337387.07999999996</v>
      </c>
      <c r="C50" s="15">
        <f>SUM(C53:C67)</f>
        <v>227188.92</v>
      </c>
      <c r="D50" s="21" t="s">
        <v>80</v>
      </c>
      <c r="E50" s="16"/>
      <c r="F50" s="16"/>
      <c r="G50" s="64"/>
      <c r="H50" s="65"/>
      <c r="I50" s="66"/>
      <c r="J50" s="66"/>
      <c r="K50" s="64"/>
      <c r="L50" s="70"/>
      <c r="M50" s="69"/>
      <c r="N50" s="61"/>
      <c r="O50" s="61"/>
      <c r="P50" s="61"/>
    </row>
    <row r="51" spans="1:16" ht="23.25" x14ac:dyDescent="0.25">
      <c r="A51" s="20" t="s">
        <v>81</v>
      </c>
      <c r="B51" s="18"/>
      <c r="C51" s="18"/>
      <c r="D51" s="21" t="s">
        <v>70</v>
      </c>
      <c r="E51" s="16">
        <v>0</v>
      </c>
      <c r="F51" s="16">
        <v>0</v>
      </c>
      <c r="G51" s="64"/>
      <c r="H51" s="65"/>
      <c r="I51" s="66"/>
      <c r="J51" s="66"/>
      <c r="K51" s="64"/>
      <c r="L51" s="69"/>
      <c r="M51" s="69"/>
      <c r="N51" s="61"/>
      <c r="O51" s="61"/>
      <c r="P51" s="61"/>
    </row>
    <row r="52" spans="1:16" ht="23.25" x14ac:dyDescent="0.25">
      <c r="A52" s="20" t="s">
        <v>82</v>
      </c>
      <c r="B52" s="18"/>
      <c r="C52" s="18"/>
      <c r="D52" s="21" t="s">
        <v>72</v>
      </c>
      <c r="E52" s="16"/>
      <c r="F52" s="16"/>
      <c r="G52" s="64"/>
      <c r="H52" s="65"/>
      <c r="I52" s="66"/>
      <c r="J52" s="66"/>
      <c r="K52" s="64"/>
      <c r="L52" s="69"/>
      <c r="M52" s="69"/>
      <c r="N52" s="61"/>
      <c r="O52" s="61"/>
      <c r="P52" s="61"/>
    </row>
    <row r="53" spans="1:16" x14ac:dyDescent="0.25">
      <c r="A53" s="20" t="s">
        <v>83</v>
      </c>
      <c r="B53" s="18"/>
      <c r="C53" s="18"/>
      <c r="D53" s="21" t="s">
        <v>84</v>
      </c>
      <c r="E53" s="16"/>
      <c r="F53" s="16"/>
      <c r="G53" s="62"/>
      <c r="H53" s="73"/>
      <c r="I53" s="63"/>
      <c r="J53" s="63"/>
      <c r="K53" s="61"/>
      <c r="L53" s="72"/>
      <c r="M53" s="72"/>
      <c r="N53" s="61"/>
      <c r="O53" s="62"/>
      <c r="P53" s="61"/>
    </row>
    <row r="54" spans="1:16" x14ac:dyDescent="0.25">
      <c r="A54" s="20" t="s">
        <v>70</v>
      </c>
      <c r="B54" s="18">
        <v>21966.3</v>
      </c>
      <c r="C54" s="18">
        <v>6000</v>
      </c>
      <c r="D54" s="21" t="s">
        <v>70</v>
      </c>
      <c r="E54" s="16">
        <f>153883.22+46749.95</f>
        <v>200633.16999999998</v>
      </c>
      <c r="F54" s="16">
        <f>52499.31+52426.85</f>
        <v>104926.16</v>
      </c>
      <c r="G54" s="61"/>
      <c r="H54" s="62"/>
      <c r="I54" s="63"/>
      <c r="J54" s="63"/>
      <c r="K54" s="61"/>
      <c r="L54" s="72"/>
      <c r="M54" s="72"/>
      <c r="N54" s="61"/>
      <c r="O54" s="62"/>
      <c r="P54" s="61"/>
    </row>
    <row r="55" spans="1:16" x14ac:dyDescent="0.25">
      <c r="A55" s="20" t="s">
        <v>72</v>
      </c>
      <c r="B55" s="18">
        <v>0</v>
      </c>
      <c r="C55" s="18">
        <v>0</v>
      </c>
      <c r="D55" s="21" t="s">
        <v>72</v>
      </c>
      <c r="E55" s="16">
        <v>0</v>
      </c>
      <c r="F55" s="16">
        <v>0</v>
      </c>
      <c r="G55" s="61"/>
      <c r="H55" s="62"/>
      <c r="I55" s="63"/>
      <c r="J55" s="63"/>
      <c r="K55" s="61"/>
      <c r="L55" s="72"/>
      <c r="M55" s="72"/>
      <c r="N55" s="61"/>
      <c r="O55" s="62"/>
      <c r="P55" s="61"/>
    </row>
    <row r="56" spans="1:16" x14ac:dyDescent="0.25">
      <c r="A56" s="20" t="s">
        <v>85</v>
      </c>
      <c r="B56" s="18"/>
      <c r="C56" s="18"/>
      <c r="D56" s="21" t="s">
        <v>86</v>
      </c>
      <c r="E56" s="16"/>
      <c r="F56" s="16"/>
      <c r="G56" s="61"/>
      <c r="H56" s="62"/>
      <c r="I56" s="63"/>
      <c r="J56" s="63"/>
      <c r="K56" s="61"/>
      <c r="L56" s="72"/>
      <c r="M56" s="72"/>
      <c r="N56" s="61"/>
      <c r="O56" s="61"/>
      <c r="P56" s="61"/>
    </row>
    <row r="57" spans="1:16" x14ac:dyDescent="0.25">
      <c r="A57" s="20" t="s">
        <v>70</v>
      </c>
      <c r="B57" s="18">
        <f>139595.6+10252.92+18720+90000</f>
        <v>258568.52000000002</v>
      </c>
      <c r="C57" s="18">
        <f>27340+48711.6+10789.41+15000+2500</f>
        <v>104341.01000000001</v>
      </c>
      <c r="D57" s="21" t="s">
        <v>70</v>
      </c>
      <c r="E57" s="16">
        <f>7135.97+7955.61+124.49</f>
        <v>15216.07</v>
      </c>
      <c r="F57" s="16">
        <f>17807-103.49+94.42</f>
        <v>17797.929999999997</v>
      </c>
      <c r="G57" s="61"/>
      <c r="H57" s="62"/>
      <c r="I57" s="63"/>
      <c r="J57" s="63"/>
      <c r="K57" s="61"/>
      <c r="L57" s="72"/>
      <c r="M57" s="72"/>
      <c r="N57" s="61"/>
      <c r="O57" s="61"/>
      <c r="P57" s="61"/>
    </row>
    <row r="58" spans="1:16" x14ac:dyDescent="0.25">
      <c r="A58" s="20" t="s">
        <v>72</v>
      </c>
      <c r="B58" s="18">
        <f>427.48</f>
        <v>427.48</v>
      </c>
      <c r="C58" s="18">
        <f>427.48+27340+28153.43</f>
        <v>55920.91</v>
      </c>
      <c r="D58" s="21" t="s">
        <v>72</v>
      </c>
      <c r="E58" s="16"/>
      <c r="F58" s="16"/>
      <c r="G58" s="61"/>
      <c r="H58" s="73"/>
      <c r="I58" s="63"/>
      <c r="J58" s="63"/>
      <c r="K58" s="61"/>
      <c r="L58" s="72"/>
      <c r="M58" s="72"/>
      <c r="N58" s="61"/>
      <c r="O58" s="62"/>
      <c r="P58" s="61"/>
    </row>
    <row r="59" spans="1:16" ht="23.25" x14ac:dyDescent="0.25">
      <c r="A59" s="20" t="s">
        <v>87</v>
      </c>
      <c r="B59" s="18"/>
      <c r="C59" s="18"/>
      <c r="D59" s="21" t="s">
        <v>88</v>
      </c>
      <c r="E59" s="16"/>
      <c r="F59" s="16"/>
      <c r="G59" s="61"/>
      <c r="H59" s="62"/>
      <c r="I59" s="63"/>
      <c r="J59" s="63"/>
      <c r="K59" s="61"/>
      <c r="L59" s="72"/>
      <c r="M59" s="72"/>
      <c r="N59" s="61"/>
      <c r="O59" s="61"/>
      <c r="P59" s="61"/>
    </row>
    <row r="60" spans="1:16" x14ac:dyDescent="0.25">
      <c r="A60" s="20" t="s">
        <v>89</v>
      </c>
      <c r="B60" s="18">
        <f>4201.46+6303.34+457</f>
        <v>10961.8</v>
      </c>
      <c r="C60" s="18">
        <f>7199.07+4999.56+8102.16</f>
        <v>20300.79</v>
      </c>
      <c r="D60" s="21" t="s">
        <v>70</v>
      </c>
      <c r="E60" s="16">
        <v>3311.76</v>
      </c>
      <c r="F60" s="16">
        <f>640+103.49+307.75</f>
        <v>1051.24</v>
      </c>
      <c r="G60" s="62"/>
      <c r="H60" s="62"/>
      <c r="I60" s="63"/>
      <c r="J60" s="63"/>
      <c r="K60" s="61"/>
      <c r="L60" s="72"/>
      <c r="M60" s="72"/>
      <c r="N60" s="61"/>
      <c r="O60" s="62"/>
      <c r="P60" s="61"/>
    </row>
    <row r="61" spans="1:16" x14ac:dyDescent="0.25">
      <c r="A61" s="20" t="s">
        <v>72</v>
      </c>
      <c r="B61" s="18">
        <f>46947.82-19868.84+5160</f>
        <v>32238.98</v>
      </c>
      <c r="C61" s="18">
        <f>42056.31-7454.94-8102.16+5160</f>
        <v>31659.209999999995</v>
      </c>
      <c r="D61" s="21" t="s">
        <v>72</v>
      </c>
      <c r="E61" s="16"/>
      <c r="F61" s="16"/>
      <c r="G61" s="61"/>
      <c r="H61" s="62"/>
      <c r="I61" s="63"/>
      <c r="J61" s="63"/>
      <c r="K61" s="61"/>
      <c r="L61" s="72"/>
      <c r="M61" s="72"/>
      <c r="N61" s="61"/>
      <c r="O61" s="62"/>
      <c r="P61" s="61"/>
    </row>
    <row r="62" spans="1:16" ht="23.25" x14ac:dyDescent="0.25">
      <c r="A62" s="20" t="s">
        <v>90</v>
      </c>
      <c r="B62" s="18"/>
      <c r="C62" s="18"/>
      <c r="D62" s="21" t="s">
        <v>91</v>
      </c>
      <c r="E62" s="16">
        <v>0</v>
      </c>
      <c r="F62" s="16">
        <v>0</v>
      </c>
      <c r="G62" s="61"/>
      <c r="H62" s="62"/>
      <c r="I62" s="63"/>
      <c r="J62" s="63"/>
      <c r="K62" s="61"/>
      <c r="L62" s="72"/>
      <c r="M62" s="72"/>
      <c r="N62" s="61"/>
      <c r="O62" s="61"/>
      <c r="P62" s="61"/>
    </row>
    <row r="63" spans="1:16" x14ac:dyDescent="0.25">
      <c r="A63" s="20" t="s">
        <v>70</v>
      </c>
      <c r="B63" s="18">
        <f>5853+3344-2470</f>
        <v>6727</v>
      </c>
      <c r="C63" s="18">
        <v>2470</v>
      </c>
      <c r="D63" s="21" t="s">
        <v>92</v>
      </c>
      <c r="E63" s="16"/>
      <c r="F63" s="16"/>
      <c r="G63" s="61"/>
      <c r="H63" s="62"/>
      <c r="I63" s="63"/>
      <c r="J63" s="63"/>
      <c r="K63" s="61"/>
      <c r="L63" s="72"/>
      <c r="M63" s="72"/>
      <c r="N63" s="61"/>
      <c r="O63" s="61"/>
      <c r="P63" s="61"/>
    </row>
    <row r="64" spans="1:16" x14ac:dyDescent="0.25">
      <c r="A64" s="20" t="s">
        <v>72</v>
      </c>
      <c r="B64" s="18">
        <v>6497</v>
      </c>
      <c r="C64" s="18">
        <v>6497</v>
      </c>
      <c r="D64" s="21" t="s">
        <v>93</v>
      </c>
      <c r="E64" s="16"/>
      <c r="F64" s="16"/>
      <c r="G64" s="74"/>
      <c r="H64" s="62"/>
      <c r="I64" s="63"/>
      <c r="J64" s="63"/>
      <c r="K64" s="61"/>
      <c r="L64" s="72"/>
      <c r="M64" s="72"/>
      <c r="N64" s="61"/>
      <c r="O64" s="61"/>
      <c r="P64" s="61"/>
    </row>
    <row r="65" spans="1:16" x14ac:dyDescent="0.25">
      <c r="A65" s="20" t="s">
        <v>94</v>
      </c>
      <c r="B65" s="18"/>
      <c r="C65" s="18"/>
      <c r="D65" s="21" t="s">
        <v>70</v>
      </c>
      <c r="E65" s="16">
        <f>6683.5+34508.23</f>
        <v>41191.730000000003</v>
      </c>
      <c r="F65" s="16">
        <f>132209.72+16.76+65+1293.09</f>
        <v>133584.57</v>
      </c>
      <c r="G65" s="74"/>
      <c r="H65" s="62"/>
      <c r="I65" s="63"/>
      <c r="J65" s="63"/>
      <c r="K65" s="61"/>
      <c r="L65" s="72"/>
      <c r="M65" s="72"/>
      <c r="N65" s="61"/>
      <c r="O65" s="61"/>
      <c r="P65" s="61"/>
    </row>
    <row r="66" spans="1:16" x14ac:dyDescent="0.25">
      <c r="A66" s="20" t="s">
        <v>70</v>
      </c>
      <c r="B66" s="18">
        <v>0</v>
      </c>
      <c r="C66" s="18">
        <v>0</v>
      </c>
      <c r="D66" s="21" t="s">
        <v>72</v>
      </c>
      <c r="E66" s="36"/>
      <c r="F66" s="36"/>
      <c r="G66" s="61"/>
      <c r="H66" s="62"/>
      <c r="I66" s="63"/>
      <c r="J66" s="63"/>
      <c r="K66" s="61"/>
      <c r="L66" s="72"/>
      <c r="M66" s="72"/>
      <c r="N66" s="61"/>
      <c r="O66" s="61"/>
      <c r="P66" s="61"/>
    </row>
    <row r="67" spans="1:16" x14ac:dyDescent="0.25">
      <c r="A67" s="20" t="s">
        <v>72</v>
      </c>
      <c r="B67" s="18">
        <v>0</v>
      </c>
      <c r="C67" s="18">
        <v>0</v>
      </c>
      <c r="D67" s="23" t="s">
        <v>95</v>
      </c>
      <c r="E67" s="24">
        <f>SUM(E43:E66)</f>
        <v>260352.73</v>
      </c>
      <c r="F67" s="24">
        <f>SUM(F43:F66)</f>
        <v>257359.90000000002</v>
      </c>
      <c r="G67" s="61"/>
      <c r="H67" s="62"/>
      <c r="I67" s="63"/>
      <c r="J67" s="63"/>
      <c r="K67" s="61"/>
      <c r="L67" s="72"/>
      <c r="M67" s="70"/>
      <c r="N67" s="61"/>
      <c r="O67" s="61"/>
      <c r="P67" s="61"/>
    </row>
    <row r="68" spans="1:16" ht="23.25" x14ac:dyDescent="0.25">
      <c r="A68" s="17" t="s">
        <v>96</v>
      </c>
      <c r="B68" s="18"/>
      <c r="C68" s="18"/>
      <c r="E68" s="16"/>
      <c r="F68" s="16"/>
      <c r="G68" s="61"/>
      <c r="H68" s="65"/>
      <c r="I68" s="66"/>
      <c r="J68" s="63"/>
      <c r="K68" s="61"/>
      <c r="L68" s="72"/>
      <c r="M68" s="72"/>
      <c r="N68" s="61"/>
      <c r="O68" s="61"/>
      <c r="P68" s="61"/>
    </row>
    <row r="69" spans="1:16" x14ac:dyDescent="0.25">
      <c r="A69" s="20" t="s">
        <v>59</v>
      </c>
      <c r="B69" s="18">
        <v>0</v>
      </c>
      <c r="C69" s="18">
        <v>0</v>
      </c>
      <c r="E69" s="16"/>
      <c r="F69" s="16"/>
      <c r="G69" s="61"/>
      <c r="H69" s="62"/>
      <c r="I69" s="66"/>
      <c r="J69" s="63"/>
      <c r="K69" s="61"/>
      <c r="L69" s="72"/>
      <c r="M69" s="72"/>
      <c r="N69" s="61"/>
      <c r="O69" s="61"/>
      <c r="P69" s="61"/>
    </row>
    <row r="70" spans="1:16" x14ac:dyDescent="0.25">
      <c r="A70" s="21" t="s">
        <v>97</v>
      </c>
      <c r="B70" s="18">
        <v>0</v>
      </c>
      <c r="C70" s="18">
        <v>0</v>
      </c>
      <c r="E70" s="16"/>
      <c r="F70" s="16"/>
      <c r="G70" s="61"/>
      <c r="H70" s="62"/>
      <c r="I70" s="63"/>
      <c r="J70" s="63"/>
      <c r="K70" s="61"/>
      <c r="L70" s="72"/>
      <c r="M70" s="72"/>
      <c r="N70" s="61"/>
      <c r="O70" s="61"/>
      <c r="P70" s="61"/>
    </row>
    <row r="71" spans="1:16" x14ac:dyDescent="0.25">
      <c r="A71" s="17" t="s">
        <v>98</v>
      </c>
      <c r="B71" s="15">
        <f>SUM(B72:B75)</f>
        <v>1024177.9400000001</v>
      </c>
      <c r="C71" s="15">
        <f>SUM(C72:C75)</f>
        <v>899876.58</v>
      </c>
      <c r="E71" s="16"/>
      <c r="F71" s="16"/>
      <c r="G71" s="61"/>
      <c r="H71" s="62"/>
      <c r="I71" s="63"/>
      <c r="J71" s="63"/>
      <c r="K71" s="61"/>
      <c r="L71" s="73"/>
      <c r="M71" s="72"/>
      <c r="N71" s="61"/>
      <c r="O71" s="61"/>
      <c r="P71" s="61"/>
    </row>
    <row r="72" spans="1:16" x14ac:dyDescent="0.25">
      <c r="A72" s="21" t="s">
        <v>99</v>
      </c>
      <c r="B72" s="18">
        <v>1015982.36</v>
      </c>
      <c r="C72" s="18">
        <v>895759.22</v>
      </c>
      <c r="D72" s="21"/>
      <c r="E72" s="16"/>
      <c r="F72" s="16"/>
      <c r="G72" s="61"/>
      <c r="H72" s="62"/>
      <c r="I72" s="66"/>
      <c r="J72" s="63"/>
      <c r="K72" s="61"/>
      <c r="L72" s="72"/>
      <c r="M72" s="72"/>
      <c r="N72" s="61"/>
      <c r="O72" s="61"/>
      <c r="P72" s="61"/>
    </row>
    <row r="73" spans="1:16" x14ac:dyDescent="0.25">
      <c r="A73" s="20" t="s">
        <v>100</v>
      </c>
      <c r="B73" s="18">
        <v>3319.52</v>
      </c>
      <c r="C73" s="18">
        <v>1495.52</v>
      </c>
      <c r="D73" s="21"/>
      <c r="E73" s="16"/>
      <c r="F73" s="16"/>
      <c r="G73" s="61"/>
      <c r="H73" s="62"/>
      <c r="I73" s="66"/>
      <c r="J73" s="63"/>
      <c r="K73" s="61"/>
      <c r="L73" s="72"/>
      <c r="M73" s="72"/>
      <c r="N73" s="61"/>
      <c r="O73" s="61"/>
      <c r="P73" s="61"/>
    </row>
    <row r="74" spans="1:16" ht="34.5" x14ac:dyDescent="0.25">
      <c r="A74" s="20" t="s">
        <v>101</v>
      </c>
      <c r="B74" s="18">
        <v>0</v>
      </c>
      <c r="C74" s="18">
        <v>0</v>
      </c>
      <c r="D74" s="21"/>
      <c r="E74" s="16"/>
      <c r="F74" s="16"/>
      <c r="G74" s="61"/>
      <c r="H74" s="62"/>
      <c r="I74" s="63"/>
      <c r="J74" s="63"/>
      <c r="K74" s="61"/>
      <c r="L74" s="72"/>
      <c r="M74" s="72"/>
      <c r="N74" s="61"/>
      <c r="O74" s="61"/>
      <c r="P74" s="61"/>
    </row>
    <row r="75" spans="1:16" x14ac:dyDescent="0.25">
      <c r="A75" s="20" t="s">
        <v>102</v>
      </c>
      <c r="B75" s="18">
        <f>1194.79+691.27+82+2301+58+20+50+479</f>
        <v>4876.0599999999995</v>
      </c>
      <c r="C75" s="18">
        <v>2621.84</v>
      </c>
      <c r="D75" s="21"/>
      <c r="E75" s="16"/>
      <c r="F75" s="16"/>
      <c r="G75" s="61"/>
      <c r="H75" s="62"/>
      <c r="I75" s="63"/>
      <c r="J75" s="63"/>
      <c r="K75" s="61"/>
      <c r="L75" s="72"/>
      <c r="M75" s="72"/>
      <c r="N75" s="61"/>
      <c r="O75" s="61"/>
      <c r="P75" s="61"/>
    </row>
    <row r="76" spans="1:16" x14ac:dyDescent="0.25">
      <c r="A76" s="33" t="s">
        <v>103</v>
      </c>
      <c r="B76" s="34">
        <f>B43+B50+B68+B71</f>
        <v>1372972.3</v>
      </c>
      <c r="C76" s="34">
        <f>C43+C50+C68+C71</f>
        <v>1139223.75</v>
      </c>
      <c r="D76" s="20"/>
      <c r="E76" s="16"/>
      <c r="F76" s="16"/>
      <c r="G76" s="61"/>
      <c r="H76" s="62"/>
      <c r="I76" s="63"/>
      <c r="J76" s="63"/>
      <c r="K76" s="61"/>
      <c r="L76" s="73"/>
      <c r="M76" s="72"/>
      <c r="N76" s="61"/>
      <c r="O76" s="61"/>
      <c r="P76" s="61"/>
    </row>
    <row r="77" spans="1:16" x14ac:dyDescent="0.25">
      <c r="A77" s="20"/>
      <c r="B77" s="18"/>
      <c r="C77" s="18"/>
      <c r="E77" s="16"/>
      <c r="F77" s="16"/>
      <c r="G77" s="64"/>
      <c r="H77" s="62"/>
      <c r="I77" s="63"/>
      <c r="J77" s="63"/>
      <c r="K77" s="61"/>
      <c r="L77" s="72"/>
      <c r="M77" s="72"/>
      <c r="N77" s="61"/>
      <c r="O77" s="61"/>
      <c r="P77" s="61"/>
    </row>
    <row r="78" spans="1:16" x14ac:dyDescent="0.25">
      <c r="A78" s="37" t="s">
        <v>104</v>
      </c>
      <c r="B78" s="15"/>
      <c r="C78" s="15"/>
      <c r="D78" s="37" t="s">
        <v>105</v>
      </c>
      <c r="E78" s="19"/>
      <c r="F78" s="19"/>
      <c r="G78" s="64"/>
      <c r="H78" s="62"/>
      <c r="I78" s="63"/>
      <c r="J78" s="63"/>
      <c r="K78" s="61"/>
      <c r="L78" s="72"/>
      <c r="M78" s="72"/>
      <c r="N78" s="61"/>
      <c r="O78" s="61"/>
      <c r="P78" s="61"/>
    </row>
    <row r="79" spans="1:16" x14ac:dyDescent="0.25">
      <c r="A79" s="38" t="s">
        <v>106</v>
      </c>
      <c r="B79" s="18">
        <v>302.12</v>
      </c>
      <c r="C79" s="18">
        <v>852.81</v>
      </c>
      <c r="D79" s="38" t="s">
        <v>107</v>
      </c>
      <c r="E79" s="16">
        <v>2381.64</v>
      </c>
      <c r="F79" s="16">
        <v>2967.34</v>
      </c>
      <c r="G79" s="62"/>
      <c r="H79" s="62"/>
      <c r="I79" s="63"/>
      <c r="J79" s="62"/>
      <c r="K79" s="61"/>
      <c r="L79" s="72"/>
      <c r="M79" s="72"/>
      <c r="N79" s="61"/>
      <c r="O79" s="61"/>
      <c r="P79" s="61"/>
    </row>
    <row r="80" spans="1:16" x14ac:dyDescent="0.25">
      <c r="A80" s="38" t="s">
        <v>108</v>
      </c>
      <c r="B80" s="18">
        <v>7835.93</v>
      </c>
      <c r="C80" s="18">
        <v>5755.15</v>
      </c>
      <c r="D80" s="38" t="s">
        <v>109</v>
      </c>
      <c r="E80" s="16">
        <f>20083.34+7512+1171888.24</f>
        <v>1199483.58</v>
      </c>
      <c r="F80" s="16">
        <f>2583.34+39718.28+1140419.44</f>
        <v>1182721.06</v>
      </c>
      <c r="G80" s="63"/>
      <c r="H80" s="62"/>
      <c r="I80" s="63"/>
      <c r="J80" s="63"/>
      <c r="K80" s="61"/>
      <c r="L80" s="72"/>
      <c r="M80" s="72"/>
      <c r="N80" s="61"/>
      <c r="O80" s="61"/>
      <c r="P80" s="61"/>
    </row>
    <row r="81" spans="1:16" x14ac:dyDescent="0.25">
      <c r="A81" s="39" t="s">
        <v>110</v>
      </c>
      <c r="B81" s="40">
        <f>SUM(B79:B80)</f>
        <v>8138.05</v>
      </c>
      <c r="C81" s="40">
        <f>SUM(C79:C80)</f>
        <v>6607.9599999999991</v>
      </c>
      <c r="D81" s="39" t="s">
        <v>111</v>
      </c>
      <c r="E81" s="41">
        <f>SUM(E79:E80)</f>
        <v>1201865.22</v>
      </c>
      <c r="F81" s="41">
        <f>SUM(F79:F80)</f>
        <v>1185688.4000000001</v>
      </c>
      <c r="G81" s="63"/>
      <c r="H81" s="62"/>
      <c r="I81" s="66"/>
      <c r="J81" s="63"/>
      <c r="K81" s="61"/>
      <c r="L81" s="73"/>
      <c r="M81" s="70"/>
      <c r="N81" s="61"/>
      <c r="O81" s="61"/>
      <c r="P81" s="61"/>
    </row>
    <row r="82" spans="1:16" x14ac:dyDescent="0.25">
      <c r="D82" s="17"/>
      <c r="E82" s="16"/>
      <c r="F82" s="16"/>
      <c r="G82" s="61"/>
      <c r="H82" s="62"/>
      <c r="I82" s="63"/>
      <c r="J82" s="63"/>
      <c r="K82" s="61"/>
      <c r="L82" s="72"/>
      <c r="M82" s="72"/>
      <c r="N82" s="61"/>
      <c r="O82" s="61"/>
      <c r="P82" s="61"/>
    </row>
    <row r="83" spans="1:16" x14ac:dyDescent="0.25">
      <c r="A83" s="39" t="s">
        <v>112</v>
      </c>
      <c r="B83" s="40">
        <f>B41+B76+B81</f>
        <v>2867471.26</v>
      </c>
      <c r="C83" s="40">
        <f>C41+C76+C81</f>
        <v>2575206.3999999999</v>
      </c>
      <c r="D83" s="23" t="s">
        <v>113</v>
      </c>
      <c r="E83" s="24">
        <f>E23+E37+E39+E67+E81</f>
        <v>2867471.26</v>
      </c>
      <c r="F83" s="24">
        <f>F23+F37+F39+F67+F81</f>
        <v>2575206.4000000004</v>
      </c>
      <c r="G83" s="61"/>
      <c r="H83" s="62"/>
      <c r="I83" s="63"/>
      <c r="J83" s="63"/>
      <c r="K83" s="61"/>
      <c r="L83" s="73"/>
      <c r="M83" s="70"/>
      <c r="N83" s="61"/>
      <c r="O83" s="61"/>
      <c r="P83" s="61"/>
    </row>
    <row r="84" spans="1:16" ht="23.25" x14ac:dyDescent="0.35">
      <c r="A84" s="76"/>
      <c r="B84" s="77"/>
      <c r="C84" s="77"/>
      <c r="D84" s="78"/>
      <c r="E84" s="79"/>
      <c r="F84" s="79"/>
      <c r="G84" s="75"/>
      <c r="H84" s="62"/>
      <c r="I84" s="63"/>
      <c r="J84" s="63"/>
      <c r="K84" s="61"/>
      <c r="L84" s="72"/>
      <c r="M84" s="72"/>
      <c r="N84" s="61"/>
      <c r="O84" s="61"/>
      <c r="P84" s="61"/>
    </row>
    <row r="85" spans="1:16" x14ac:dyDescent="0.25">
      <c r="A85" s="76"/>
      <c r="B85" s="64"/>
      <c r="C85" s="64"/>
      <c r="D85" s="76"/>
      <c r="E85" s="80"/>
      <c r="F85" s="62"/>
      <c r="G85" s="61"/>
      <c r="H85" s="62"/>
      <c r="I85" s="63"/>
      <c r="J85" s="63"/>
    </row>
    <row r="86" spans="1:16" x14ac:dyDescent="0.25">
      <c r="A86" s="76"/>
      <c r="B86" s="64"/>
      <c r="C86" s="64"/>
      <c r="D86" s="76"/>
      <c r="E86" s="62"/>
      <c r="F86" s="62"/>
      <c r="G86" s="61"/>
      <c r="H86" s="62"/>
      <c r="I86" s="63"/>
      <c r="J86" s="63"/>
    </row>
    <row r="87" spans="1:16" x14ac:dyDescent="0.25">
      <c r="A87" s="76"/>
      <c r="B87" s="64"/>
      <c r="C87" s="64"/>
      <c r="D87" s="76"/>
      <c r="E87" s="62"/>
      <c r="F87" s="62"/>
      <c r="G87" s="61"/>
      <c r="H87" s="62"/>
      <c r="I87" s="66"/>
      <c r="J87" s="63"/>
    </row>
    <row r="88" spans="1:16" x14ac:dyDescent="0.25">
      <c r="A88" s="76"/>
      <c r="B88" s="64"/>
      <c r="C88" s="64"/>
      <c r="D88" s="76"/>
      <c r="E88" s="62"/>
      <c r="F88" s="62"/>
      <c r="G88" s="61"/>
      <c r="H88" s="62"/>
      <c r="I88" s="63"/>
      <c r="J88" s="63"/>
    </row>
    <row r="89" spans="1:16" x14ac:dyDescent="0.25">
      <c r="A89" s="76"/>
      <c r="B89" s="64"/>
      <c r="C89" s="64"/>
      <c r="D89" s="76"/>
      <c r="E89" s="62"/>
      <c r="F89" s="62"/>
      <c r="G89" s="61"/>
      <c r="H89" s="62"/>
      <c r="I89" s="63"/>
      <c r="J89" s="63"/>
    </row>
    <row r="90" spans="1:16" x14ac:dyDescent="0.25">
      <c r="A90" s="76"/>
      <c r="B90" s="64"/>
      <c r="C90" s="64"/>
      <c r="D90" s="76"/>
      <c r="E90" s="62"/>
      <c r="F90" s="62"/>
      <c r="G90" s="61"/>
      <c r="H90" s="62"/>
      <c r="I90" s="63"/>
      <c r="J90" s="63"/>
    </row>
    <row r="91" spans="1:16" x14ac:dyDescent="0.25">
      <c r="A91" s="76"/>
      <c r="B91" s="64"/>
      <c r="C91" s="64"/>
      <c r="D91" s="76"/>
      <c r="E91" s="62"/>
      <c r="F91" s="62"/>
      <c r="G91" s="61"/>
      <c r="H91" s="62"/>
      <c r="I91" s="63"/>
      <c r="J91" s="63"/>
    </row>
    <row r="92" spans="1:16" x14ac:dyDescent="0.25">
      <c r="A92" s="76"/>
      <c r="B92" s="64"/>
      <c r="C92" s="64"/>
      <c r="D92" s="76"/>
      <c r="E92" s="62"/>
      <c r="F92" s="62"/>
      <c r="G92" s="61"/>
      <c r="H92" s="62"/>
      <c r="I92" s="63"/>
      <c r="J92" s="63"/>
    </row>
    <row r="93" spans="1:16" x14ac:dyDescent="0.25">
      <c r="A93" s="76"/>
      <c r="B93" s="64"/>
      <c r="C93" s="64"/>
      <c r="D93" s="76"/>
      <c r="E93" s="62"/>
      <c r="F93" s="62"/>
      <c r="G93" s="61"/>
      <c r="H93" s="62"/>
      <c r="I93" s="63"/>
      <c r="J93" s="63"/>
    </row>
    <row r="94" spans="1:16" x14ac:dyDescent="0.25">
      <c r="A94" s="76"/>
      <c r="B94" s="64"/>
      <c r="C94" s="64"/>
      <c r="D94" s="76"/>
      <c r="E94" s="62"/>
      <c r="F94" s="62"/>
      <c r="G94" s="61"/>
      <c r="H94" s="62"/>
      <c r="I94" s="63"/>
      <c r="J94" s="81"/>
    </row>
    <row r="95" spans="1:16" x14ac:dyDescent="0.25">
      <c r="A95" s="76"/>
      <c r="B95" s="64"/>
      <c r="C95" s="64"/>
      <c r="D95" s="76"/>
      <c r="E95" s="62"/>
      <c r="F95" s="62"/>
      <c r="G95" s="61"/>
      <c r="H95" s="62"/>
      <c r="I95" s="63"/>
      <c r="J95" s="63"/>
    </row>
    <row r="96" spans="1:16" x14ac:dyDescent="0.25">
      <c r="A96" s="76"/>
      <c r="B96" s="64"/>
      <c r="C96" s="64"/>
      <c r="D96" s="76"/>
      <c r="E96" s="62"/>
      <c r="F96" s="62"/>
      <c r="G96" s="61"/>
      <c r="H96" s="62"/>
      <c r="I96" s="63"/>
      <c r="J96" s="63"/>
    </row>
    <row r="97" spans="1:10" x14ac:dyDescent="0.25">
      <c r="A97" s="76"/>
      <c r="B97" s="64"/>
      <c r="C97" s="64"/>
      <c r="D97" s="76"/>
      <c r="E97" s="62"/>
      <c r="F97" s="62"/>
      <c r="G97" s="61"/>
      <c r="H97" s="62"/>
      <c r="I97" s="63"/>
      <c r="J97" s="63"/>
    </row>
    <row r="98" spans="1:10" x14ac:dyDescent="0.25">
      <c r="A98" s="78"/>
      <c r="B98" s="61"/>
      <c r="C98" s="64"/>
      <c r="D98" s="76"/>
      <c r="E98" s="62"/>
      <c r="F98" s="62"/>
      <c r="G98" s="61"/>
      <c r="H98" s="62"/>
      <c r="I98" s="63"/>
      <c r="J98" s="63"/>
    </row>
    <row r="99" spans="1:10" x14ac:dyDescent="0.25">
      <c r="A99" s="78"/>
      <c r="B99" s="61"/>
      <c r="C99" s="61"/>
      <c r="D99" s="78"/>
      <c r="E99" s="62"/>
      <c r="F99" s="62"/>
      <c r="G99" s="61"/>
      <c r="H99" s="62"/>
      <c r="I99" s="63"/>
      <c r="J99" s="63"/>
    </row>
  </sheetData>
  <mergeCells count="7">
    <mergeCell ref="A9:F10"/>
    <mergeCell ref="L11:M11"/>
    <mergeCell ref="A1:F1"/>
    <mergeCell ref="A2:F2"/>
    <mergeCell ref="A3:F3"/>
    <mergeCell ref="A6:F6"/>
    <mergeCell ref="A7:F7"/>
  </mergeCells>
  <pageMargins left="0.39370078740157483" right="0.39370078740157483" top="0.74803149606299213" bottom="0.74803149606299213" header="0.51181102362204722" footer="0.51181102362204722"/>
  <pageSetup paperSize="9" scale="90" firstPageNumber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68"/>
  <sheetViews>
    <sheetView tabSelected="1" zoomScale="120" zoomScaleNormal="120" workbookViewId="0">
      <selection activeCell="E9" sqref="E9"/>
    </sheetView>
  </sheetViews>
  <sheetFormatPr defaultRowHeight="15" x14ac:dyDescent="0.25"/>
  <cols>
    <col min="1" max="1" width="60.140625" style="5" customWidth="1"/>
    <col min="2" max="3" width="20.7109375" style="5" customWidth="1"/>
    <col min="4" max="4" width="9.85546875" style="5" customWidth="1"/>
    <col min="5" max="5" width="34.140625" style="42" customWidth="1"/>
    <col min="6" max="6" width="11.85546875" style="2" customWidth="1"/>
    <col min="7" max="7" width="11.28515625" style="2" customWidth="1"/>
    <col min="8" max="8" width="9.140625" style="5" customWidth="1"/>
    <col min="9" max="9" width="11.28515625" style="5" customWidth="1"/>
    <col min="10" max="1025" width="9.140625" style="5" customWidth="1"/>
  </cols>
  <sheetData>
    <row r="1" spans="1:8" ht="15" customHeight="1" x14ac:dyDescent="0.25">
      <c r="A1" s="57" t="s">
        <v>0</v>
      </c>
      <c r="B1" s="57"/>
      <c r="C1" s="57"/>
      <c r="D1" s="82"/>
      <c r="E1" s="83"/>
      <c r="F1" s="61"/>
      <c r="G1" s="61"/>
      <c r="H1" s="64"/>
    </row>
    <row r="2" spans="1:8" s="5" customFormat="1" ht="15" customHeight="1" x14ac:dyDescent="0.2">
      <c r="A2" s="58" t="s">
        <v>1</v>
      </c>
      <c r="B2" s="58"/>
      <c r="C2" s="58"/>
      <c r="D2" s="84"/>
      <c r="E2" s="85"/>
      <c r="F2" s="64"/>
      <c r="G2" s="64"/>
      <c r="H2" s="64"/>
    </row>
    <row r="3" spans="1:8" s="5" customFormat="1" ht="15" customHeight="1" x14ac:dyDescent="0.2">
      <c r="A3" s="58" t="s">
        <v>2</v>
      </c>
      <c r="B3" s="58"/>
      <c r="C3" s="58"/>
      <c r="D3" s="84"/>
      <c r="E3" s="85"/>
      <c r="F3" s="64"/>
      <c r="G3" s="64"/>
      <c r="H3" s="64"/>
    </row>
    <row r="4" spans="1:8" s="5" customFormat="1" ht="15" customHeight="1" x14ac:dyDescent="0.2">
      <c r="A4" s="8"/>
      <c r="B4" s="8"/>
      <c r="C4" s="8"/>
      <c r="D4" s="84"/>
      <c r="E4" s="85"/>
      <c r="F4" s="64"/>
      <c r="G4" s="64"/>
      <c r="H4" s="64"/>
    </row>
    <row r="5" spans="1:8" s="5" customFormat="1" ht="15" customHeight="1" x14ac:dyDescent="0.2">
      <c r="D5" s="64"/>
      <c r="E5" s="86"/>
      <c r="F5" s="64"/>
      <c r="G5" s="64"/>
      <c r="H5" s="64"/>
    </row>
    <row r="6" spans="1:8" s="5" customFormat="1" ht="15" customHeight="1" x14ac:dyDescent="0.2">
      <c r="A6" s="59" t="s">
        <v>3</v>
      </c>
      <c r="B6" s="59"/>
      <c r="C6" s="59"/>
      <c r="D6" s="87"/>
      <c r="E6" s="88"/>
      <c r="F6" s="64"/>
      <c r="G6" s="64"/>
      <c r="H6" s="64"/>
    </row>
    <row r="7" spans="1:8" s="5" customFormat="1" ht="15" customHeight="1" x14ac:dyDescent="0.2">
      <c r="A7" s="56" t="s">
        <v>4</v>
      </c>
      <c r="B7" s="56"/>
      <c r="C7" s="56"/>
      <c r="D7" s="87"/>
      <c r="E7" s="88"/>
      <c r="F7" s="64"/>
      <c r="G7" s="64"/>
      <c r="H7" s="64"/>
    </row>
    <row r="8" spans="1:8" s="5" customFormat="1" ht="15" customHeight="1" x14ac:dyDescent="0.2">
      <c r="D8" s="64"/>
      <c r="E8" s="86"/>
      <c r="F8" s="64"/>
      <c r="G8" s="64"/>
      <c r="H8" s="64"/>
    </row>
    <row r="9" spans="1:8" ht="30" customHeight="1" x14ac:dyDescent="0.25">
      <c r="A9" s="60" t="s">
        <v>172</v>
      </c>
      <c r="B9" s="60"/>
      <c r="C9" s="60"/>
      <c r="D9" s="64"/>
      <c r="E9" s="86"/>
      <c r="F9" s="67"/>
      <c r="G9" s="67"/>
      <c r="H9" s="64"/>
    </row>
    <row r="10" spans="1:8" ht="15" customHeight="1" x14ac:dyDescent="0.25">
      <c r="A10" s="13"/>
      <c r="B10" s="55">
        <v>44926</v>
      </c>
      <c r="C10" s="55">
        <v>44561</v>
      </c>
      <c r="D10" s="69"/>
      <c r="E10" s="86"/>
      <c r="F10" s="68"/>
      <c r="G10" s="68"/>
      <c r="H10" s="64"/>
    </row>
    <row r="11" spans="1:8" ht="15" customHeight="1" x14ac:dyDescent="0.25">
      <c r="A11" s="43" t="s">
        <v>114</v>
      </c>
      <c r="B11" s="44"/>
      <c r="C11" s="44"/>
      <c r="D11" s="64"/>
      <c r="E11" s="86"/>
      <c r="F11" s="69"/>
      <c r="G11" s="70"/>
      <c r="H11" s="64"/>
    </row>
    <row r="12" spans="1:8" ht="15" customHeight="1" x14ac:dyDescent="0.25">
      <c r="A12" s="45" t="s">
        <v>115</v>
      </c>
      <c r="B12" s="46">
        <f>SUM(B13:B18)</f>
        <v>2249931.79</v>
      </c>
      <c r="C12" s="46">
        <f>SUM(C13:C18)</f>
        <v>1980112.47</v>
      </c>
      <c r="D12" s="70"/>
      <c r="E12" s="86"/>
      <c r="F12" s="70"/>
      <c r="G12" s="70"/>
      <c r="H12" s="64"/>
    </row>
    <row r="13" spans="1:8" ht="15" customHeight="1" x14ac:dyDescent="0.25">
      <c r="A13" s="32" t="s">
        <v>116</v>
      </c>
      <c r="B13" s="44">
        <v>0</v>
      </c>
      <c r="C13" s="44">
        <v>0</v>
      </c>
      <c r="D13" s="65"/>
      <c r="E13" s="86"/>
      <c r="F13" s="70"/>
      <c r="G13" s="70"/>
      <c r="H13" s="64"/>
    </row>
    <row r="14" spans="1:8" ht="15" customHeight="1" x14ac:dyDescent="0.25">
      <c r="A14" s="32" t="s">
        <v>117</v>
      </c>
      <c r="B14" s="44">
        <v>1433333.33</v>
      </c>
      <c r="C14" s="44">
        <v>1154000</v>
      </c>
      <c r="D14" s="65"/>
      <c r="E14" s="86"/>
      <c r="F14" s="69"/>
      <c r="G14" s="69"/>
      <c r="H14" s="64"/>
    </row>
    <row r="15" spans="1:8" x14ac:dyDescent="0.25">
      <c r="A15" s="32" t="s">
        <v>118</v>
      </c>
      <c r="B15" s="44">
        <f>9970.2+2727.17</f>
        <v>12697.37</v>
      </c>
      <c r="C15" s="44">
        <f>11444.11</f>
        <v>11444.11</v>
      </c>
      <c r="D15" s="65"/>
      <c r="E15" s="89"/>
      <c r="F15" s="69"/>
      <c r="G15" s="69"/>
      <c r="H15" s="64"/>
    </row>
    <row r="16" spans="1:8" ht="15" customHeight="1" x14ac:dyDescent="0.25">
      <c r="A16" s="32" t="s">
        <v>119</v>
      </c>
      <c r="B16" s="44">
        <v>0</v>
      </c>
      <c r="C16" s="44">
        <v>0</v>
      </c>
      <c r="D16" s="65"/>
      <c r="E16" s="86"/>
      <c r="F16" s="69"/>
      <c r="G16" s="69"/>
      <c r="H16" s="64"/>
    </row>
    <row r="17" spans="1:9" x14ac:dyDescent="0.25">
      <c r="A17" s="32" t="s">
        <v>120</v>
      </c>
      <c r="B17" s="44">
        <f>214814.74+46871.2+18720+25588</f>
        <v>305993.94</v>
      </c>
      <c r="C17" s="44">
        <f>214814.74+30109.82+15000+37355.38</f>
        <v>297279.94</v>
      </c>
      <c r="D17" s="65"/>
      <c r="E17" s="86"/>
      <c r="F17" s="69"/>
      <c r="G17" s="69"/>
      <c r="H17" s="64"/>
    </row>
    <row r="18" spans="1:9" ht="15" customHeight="1" x14ac:dyDescent="0.25">
      <c r="A18" s="32" t="s">
        <v>121</v>
      </c>
      <c r="B18" s="44">
        <v>497907.15</v>
      </c>
      <c r="C18" s="44">
        <v>517388.42</v>
      </c>
      <c r="D18" s="65"/>
      <c r="E18" s="86"/>
      <c r="F18" s="69"/>
      <c r="G18" s="70"/>
      <c r="H18" s="64"/>
    </row>
    <row r="19" spans="1:9" ht="41.25" customHeight="1" x14ac:dyDescent="0.25">
      <c r="A19" s="43" t="s">
        <v>122</v>
      </c>
      <c r="B19" s="47">
        <v>0</v>
      </c>
      <c r="C19" s="48">
        <v>0</v>
      </c>
      <c r="D19" s="64"/>
      <c r="E19" s="90"/>
      <c r="F19" s="70"/>
      <c r="G19" s="69"/>
      <c r="H19" s="64"/>
    </row>
    <row r="20" spans="1:9" ht="15" customHeight="1" x14ac:dyDescent="0.25">
      <c r="A20" s="43" t="s">
        <v>123</v>
      </c>
      <c r="B20" s="48">
        <v>0</v>
      </c>
      <c r="C20" s="48">
        <v>0</v>
      </c>
      <c r="D20" s="64"/>
      <c r="E20" s="86"/>
      <c r="F20" s="70"/>
      <c r="G20" s="70"/>
      <c r="H20" s="64"/>
    </row>
    <row r="21" spans="1:9" ht="15" customHeight="1" x14ac:dyDescent="0.25">
      <c r="A21" s="43" t="s">
        <v>124</v>
      </c>
      <c r="B21" s="48">
        <v>0</v>
      </c>
      <c r="C21" s="48">
        <v>0</v>
      </c>
      <c r="D21" s="64"/>
      <c r="E21" s="86"/>
      <c r="F21" s="70"/>
      <c r="G21" s="70"/>
      <c r="H21" s="64"/>
    </row>
    <row r="22" spans="1:9" ht="15" customHeight="1" x14ac:dyDescent="0.25">
      <c r="A22" s="43" t="s">
        <v>125</v>
      </c>
      <c r="B22" s="48">
        <f>SUM(B23:B24)</f>
        <v>118627.1</v>
      </c>
      <c r="C22" s="48">
        <f>SUM(C23:C24)</f>
        <v>123891.31</v>
      </c>
      <c r="D22" s="70"/>
      <c r="E22" s="86"/>
      <c r="F22" s="70"/>
      <c r="G22" s="72"/>
      <c r="H22" s="64"/>
    </row>
    <row r="23" spans="1:9" ht="26.85" customHeight="1" x14ac:dyDescent="0.25">
      <c r="A23" s="32" t="s">
        <v>126</v>
      </c>
      <c r="B23" s="44">
        <f>47262.45+5339.31+1000+0.44</f>
        <v>53602.2</v>
      </c>
      <c r="C23" s="44">
        <f>52404.89+8.53+1279.48+7303.15</f>
        <v>60996.05</v>
      </c>
      <c r="D23" s="65"/>
      <c r="E23" s="86"/>
      <c r="F23" s="69"/>
      <c r="G23" s="69"/>
      <c r="H23" s="64"/>
    </row>
    <row r="24" spans="1:9" ht="15" customHeight="1" x14ac:dyDescent="0.25">
      <c r="A24" s="32" t="s">
        <v>127</v>
      </c>
      <c r="B24" s="44">
        <v>65024.9</v>
      </c>
      <c r="C24" s="44">
        <v>62895.26</v>
      </c>
      <c r="D24" s="65"/>
      <c r="E24" s="86"/>
      <c r="F24" s="72"/>
      <c r="G24" s="72"/>
      <c r="H24" s="64"/>
    </row>
    <row r="25" spans="1:9" ht="15" customHeight="1" x14ac:dyDescent="0.25">
      <c r="A25" s="43" t="s">
        <v>128</v>
      </c>
      <c r="B25" s="48">
        <f>B12+B19+B20+B21+B22</f>
        <v>2368558.89</v>
      </c>
      <c r="C25" s="48">
        <f>C12+C19+C20+C21+C22</f>
        <v>2104003.7799999998</v>
      </c>
      <c r="D25" s="65"/>
      <c r="E25" s="91"/>
      <c r="F25" s="92"/>
      <c r="G25" s="69"/>
      <c r="H25" s="64"/>
      <c r="I25" s="6"/>
    </row>
    <row r="26" spans="1:9" ht="15" customHeight="1" x14ac:dyDescent="0.25">
      <c r="A26" s="43" t="s">
        <v>129</v>
      </c>
      <c r="B26" s="48"/>
      <c r="C26" s="48"/>
      <c r="D26" s="64"/>
      <c r="E26" s="86"/>
      <c r="F26" s="69"/>
      <c r="G26" s="69"/>
      <c r="H26" s="64"/>
      <c r="I26" s="6"/>
    </row>
    <row r="27" spans="1:9" x14ac:dyDescent="0.25">
      <c r="A27" s="43" t="s">
        <v>130</v>
      </c>
      <c r="B27" s="46">
        <v>55339.31</v>
      </c>
      <c r="C27" s="46">
        <v>37279.97</v>
      </c>
      <c r="D27" s="70"/>
      <c r="E27" s="86"/>
      <c r="F27" s="69"/>
      <c r="G27" s="70"/>
      <c r="H27" s="64"/>
    </row>
    <row r="28" spans="1:9" ht="15" customHeight="1" x14ac:dyDescent="0.25">
      <c r="A28" s="43" t="s">
        <v>131</v>
      </c>
      <c r="B28" s="48">
        <f>B29+B30</f>
        <v>737857.27999999991</v>
      </c>
      <c r="C28" s="48">
        <f>C29+C30</f>
        <v>593016.17999999993</v>
      </c>
      <c r="D28" s="70"/>
      <c r="E28" s="86"/>
      <c r="F28" s="72"/>
      <c r="G28" s="70"/>
      <c r="H28" s="64"/>
      <c r="I28" s="6"/>
    </row>
    <row r="29" spans="1:9" x14ac:dyDescent="0.25">
      <c r="A29" s="32" t="s">
        <v>132</v>
      </c>
      <c r="B29" s="44">
        <f>65332.31+10232.75+1793.17</f>
        <v>77358.23</v>
      </c>
      <c r="C29" s="44">
        <f>71951.22+598.1</f>
        <v>72549.320000000007</v>
      </c>
      <c r="D29" s="70"/>
      <c r="E29" s="86"/>
      <c r="F29" s="72"/>
      <c r="G29" s="72"/>
      <c r="H29" s="64"/>
    </row>
    <row r="30" spans="1:9" x14ac:dyDescent="0.25">
      <c r="A30" s="32" t="s">
        <v>133</v>
      </c>
      <c r="B30" s="49">
        <f>278036.14+350055.31+27634.12+3292+1481.48</f>
        <v>660499.04999999993</v>
      </c>
      <c r="C30" s="49">
        <f>167695.03+346517.54+4207.43+2046.86</f>
        <v>520466.85999999993</v>
      </c>
      <c r="D30" s="70"/>
      <c r="E30" s="86"/>
      <c r="F30" s="69"/>
      <c r="G30" s="69"/>
      <c r="H30" s="64"/>
    </row>
    <row r="31" spans="1:9" ht="15" customHeight="1" x14ac:dyDescent="0.25">
      <c r="A31" s="43" t="s">
        <v>134</v>
      </c>
      <c r="B31" s="48">
        <v>115426.32</v>
      </c>
      <c r="C31" s="48">
        <v>70517.77</v>
      </c>
      <c r="D31" s="70"/>
      <c r="E31" s="86"/>
      <c r="F31" s="69"/>
      <c r="G31" s="70"/>
      <c r="H31" s="64"/>
    </row>
    <row r="32" spans="1:9" ht="15" customHeight="1" x14ac:dyDescent="0.25">
      <c r="A32" s="43" t="s">
        <v>135</v>
      </c>
      <c r="B32" s="48">
        <f>SUM(B33:B37)</f>
        <v>945594.73</v>
      </c>
      <c r="C32" s="48">
        <f>SUM(C33:C37)</f>
        <v>933018.47</v>
      </c>
      <c r="D32" s="65"/>
      <c r="E32" s="89"/>
      <c r="F32" s="72"/>
      <c r="G32" s="70"/>
      <c r="H32" s="64"/>
    </row>
    <row r="33" spans="1:9" x14ac:dyDescent="0.25">
      <c r="A33" s="32" t="s">
        <v>136</v>
      </c>
      <c r="B33" s="44">
        <v>750310.16</v>
      </c>
      <c r="C33" s="44">
        <v>711700.65</v>
      </c>
      <c r="D33" s="70"/>
      <c r="E33" s="89"/>
      <c r="F33" s="72"/>
      <c r="G33" s="72"/>
      <c r="H33" s="64"/>
    </row>
    <row r="34" spans="1:9" ht="15" customHeight="1" x14ac:dyDescent="0.25">
      <c r="A34" s="32" t="s">
        <v>137</v>
      </c>
      <c r="B34" s="44">
        <f>200058.05-3292-1481.48</f>
        <v>195284.56999999998</v>
      </c>
      <c r="C34" s="44">
        <v>194352.59</v>
      </c>
      <c r="D34" s="70"/>
      <c r="E34" s="89"/>
      <c r="F34" s="69"/>
      <c r="G34" s="69"/>
      <c r="H34" s="64"/>
    </row>
    <row r="35" spans="1:9" ht="15" customHeight="1" x14ac:dyDescent="0.25">
      <c r="A35" s="32" t="s">
        <v>138</v>
      </c>
      <c r="B35" s="44">
        <v>0</v>
      </c>
      <c r="C35" s="44">
        <v>0</v>
      </c>
      <c r="D35" s="64"/>
      <c r="E35" s="86"/>
      <c r="F35" s="69"/>
      <c r="G35" s="70"/>
      <c r="H35" s="64"/>
    </row>
    <row r="36" spans="1:9" ht="15" customHeight="1" x14ac:dyDescent="0.25">
      <c r="A36" s="32" t="s">
        <v>139</v>
      </c>
      <c r="B36" s="44">
        <v>0</v>
      </c>
      <c r="C36" s="44">
        <v>0</v>
      </c>
      <c r="D36" s="64"/>
      <c r="E36" s="86"/>
      <c r="F36" s="69"/>
      <c r="G36" s="69"/>
      <c r="H36" s="64"/>
    </row>
    <row r="37" spans="1:9" ht="15" customHeight="1" x14ac:dyDescent="0.25">
      <c r="A37" s="32" t="s">
        <v>140</v>
      </c>
      <c r="B37" s="44">
        <v>0</v>
      </c>
      <c r="C37" s="44">
        <v>26965.23</v>
      </c>
      <c r="D37" s="64"/>
      <c r="E37" s="86"/>
      <c r="F37" s="69"/>
      <c r="G37" s="69"/>
      <c r="H37" s="64"/>
    </row>
    <row r="38" spans="1:9" ht="15" customHeight="1" x14ac:dyDescent="0.25">
      <c r="A38" s="43" t="s">
        <v>141</v>
      </c>
      <c r="B38" s="48">
        <f>B39+B40+B42</f>
        <v>92435.319999999992</v>
      </c>
      <c r="C38" s="48">
        <f>C39+C40+C42</f>
        <v>79176.02</v>
      </c>
      <c r="D38" s="70"/>
      <c r="E38" s="86"/>
      <c r="F38" s="69"/>
      <c r="G38" s="70"/>
      <c r="H38" s="64"/>
    </row>
    <row r="39" spans="1:9" ht="15" customHeight="1" x14ac:dyDescent="0.25">
      <c r="A39" s="32" t="s">
        <v>142</v>
      </c>
      <c r="B39" s="44">
        <v>9680.86</v>
      </c>
      <c r="C39" s="44">
        <v>9883.39</v>
      </c>
      <c r="D39" s="64"/>
      <c r="E39" s="86"/>
      <c r="F39" s="70"/>
      <c r="G39" s="70"/>
      <c r="H39" s="64"/>
    </row>
    <row r="40" spans="1:9" ht="15" customHeight="1" x14ac:dyDescent="0.25">
      <c r="A40" s="32" t="s">
        <v>143</v>
      </c>
      <c r="B40" s="44">
        <v>70340.56</v>
      </c>
      <c r="C40" s="44">
        <v>69292.63</v>
      </c>
      <c r="D40" s="64"/>
      <c r="E40" s="89"/>
      <c r="F40" s="69"/>
      <c r="G40" s="69"/>
      <c r="H40" s="64"/>
    </row>
    <row r="41" spans="1:9" ht="15" customHeight="1" x14ac:dyDescent="0.25">
      <c r="A41" s="32" t="s">
        <v>144</v>
      </c>
      <c r="B41" s="44">
        <v>0</v>
      </c>
      <c r="C41" s="44">
        <v>0</v>
      </c>
      <c r="D41" s="64"/>
      <c r="E41" s="86"/>
      <c r="F41" s="69"/>
      <c r="G41" s="69"/>
      <c r="H41" s="64"/>
    </row>
    <row r="42" spans="1:9" ht="15" customHeight="1" x14ac:dyDescent="0.25">
      <c r="A42" s="32" t="s">
        <v>145</v>
      </c>
      <c r="B42" s="44">
        <v>12413.9</v>
      </c>
      <c r="C42" s="44">
        <v>0</v>
      </c>
      <c r="D42" s="64"/>
      <c r="E42" s="86"/>
      <c r="F42" s="69"/>
      <c r="G42" s="69"/>
      <c r="H42" s="64"/>
    </row>
    <row r="43" spans="1:9" ht="15" customHeight="1" x14ac:dyDescent="0.25">
      <c r="A43" s="43" t="s">
        <v>146</v>
      </c>
      <c r="B43" s="47">
        <f>12158.25-11407.28</f>
        <v>750.96999999999935</v>
      </c>
      <c r="C43" s="48">
        <v>-12158.25</v>
      </c>
      <c r="D43" s="64"/>
      <c r="E43" s="86"/>
      <c r="F43" s="69"/>
      <c r="G43" s="70"/>
      <c r="H43" s="64"/>
    </row>
    <row r="44" spans="1:9" ht="15" customHeight="1" x14ac:dyDescent="0.25">
      <c r="A44" s="43" t="s">
        <v>147</v>
      </c>
      <c r="B44" s="48">
        <v>0</v>
      </c>
      <c r="C44" s="48">
        <v>0</v>
      </c>
      <c r="D44" s="64"/>
      <c r="E44" s="89"/>
      <c r="F44" s="69"/>
      <c r="G44" s="70"/>
      <c r="H44" s="64"/>
    </row>
    <row r="45" spans="1:9" ht="15" customHeight="1" x14ac:dyDescent="0.25">
      <c r="A45" s="43" t="s">
        <v>148</v>
      </c>
      <c r="B45" s="48">
        <v>0</v>
      </c>
      <c r="C45" s="48">
        <v>0</v>
      </c>
      <c r="D45" s="65"/>
      <c r="E45" s="86"/>
      <c r="F45" s="69"/>
      <c r="G45" s="70"/>
      <c r="H45" s="64"/>
    </row>
    <row r="46" spans="1:9" ht="15" customHeight="1" x14ac:dyDescent="0.25">
      <c r="A46" s="43" t="s">
        <v>149</v>
      </c>
      <c r="B46" s="48">
        <v>82284.3</v>
      </c>
      <c r="C46" s="48">
        <v>182517.45</v>
      </c>
      <c r="D46" s="65"/>
      <c r="E46" s="93"/>
      <c r="F46" s="69"/>
      <c r="G46" s="70"/>
      <c r="H46" s="64"/>
    </row>
    <row r="47" spans="1:9" ht="15" customHeight="1" x14ac:dyDescent="0.25">
      <c r="A47" s="50" t="s">
        <v>150</v>
      </c>
      <c r="B47" s="48">
        <f>B27+B28+B31+B32+B38+B43+B44+B45+B46</f>
        <v>2029688.23</v>
      </c>
      <c r="C47" s="48">
        <f>C27+C28+C31+C32+C38+C43+C44+C45+C46</f>
        <v>1883367.6099999999</v>
      </c>
      <c r="D47" s="65"/>
      <c r="E47" s="91"/>
      <c r="F47" s="69"/>
      <c r="G47" s="92"/>
      <c r="H47" s="64"/>
      <c r="I47" s="6"/>
    </row>
    <row r="48" spans="1:9" ht="15" customHeight="1" x14ac:dyDescent="0.25">
      <c r="A48" s="51" t="s">
        <v>151</v>
      </c>
      <c r="B48" s="52">
        <f>B25-B47</f>
        <v>338870.66000000015</v>
      </c>
      <c r="C48" s="52">
        <f>C25-C47</f>
        <v>220636.16999999993</v>
      </c>
      <c r="D48" s="65"/>
      <c r="E48" s="91"/>
      <c r="F48" s="70"/>
      <c r="G48" s="69"/>
      <c r="H48" s="64"/>
      <c r="I48" s="6"/>
    </row>
    <row r="49" spans="1:9" ht="15" customHeight="1" x14ac:dyDescent="0.25">
      <c r="A49" s="43" t="s">
        <v>152</v>
      </c>
      <c r="B49" s="49"/>
      <c r="C49" s="49"/>
      <c r="D49" s="64"/>
      <c r="E49" s="93"/>
      <c r="F49" s="69"/>
      <c r="G49" s="69"/>
      <c r="H49" s="64"/>
      <c r="I49" s="6"/>
    </row>
    <row r="50" spans="1:9" ht="15" customHeight="1" x14ac:dyDescent="0.25">
      <c r="A50" s="43" t="s">
        <v>153</v>
      </c>
      <c r="B50" s="46">
        <v>0</v>
      </c>
      <c r="C50" s="46">
        <v>0</v>
      </c>
      <c r="D50" s="64"/>
      <c r="E50" s="93"/>
      <c r="F50" s="69"/>
      <c r="G50" s="69"/>
      <c r="H50" s="64"/>
    </row>
    <row r="51" spans="1:9" ht="15" customHeight="1" x14ac:dyDescent="0.25">
      <c r="A51" s="43" t="s">
        <v>154</v>
      </c>
      <c r="B51" s="46">
        <f>SUM(B52:B53)</f>
        <v>498.01</v>
      </c>
      <c r="C51" s="46">
        <f>SUM(C52:C53)</f>
        <v>324.02</v>
      </c>
      <c r="D51" s="64"/>
      <c r="E51" s="93"/>
      <c r="F51" s="73"/>
      <c r="G51" s="72"/>
      <c r="H51" s="64"/>
    </row>
    <row r="52" spans="1:9" ht="15" customHeight="1" x14ac:dyDescent="0.25">
      <c r="A52" s="32" t="s">
        <v>155</v>
      </c>
      <c r="B52" s="49">
        <v>0.08</v>
      </c>
      <c r="C52" s="49">
        <v>0.24</v>
      </c>
      <c r="D52" s="64"/>
      <c r="E52" s="93"/>
      <c r="F52" s="72"/>
      <c r="G52" s="72"/>
      <c r="H52" s="64"/>
    </row>
    <row r="53" spans="1:9" ht="15" customHeight="1" x14ac:dyDescent="0.25">
      <c r="A53" s="32" t="s">
        <v>156</v>
      </c>
      <c r="B53" s="49">
        <v>497.93</v>
      </c>
      <c r="C53" s="49">
        <v>323.77999999999997</v>
      </c>
      <c r="D53" s="64"/>
      <c r="E53" s="93"/>
      <c r="F53" s="72"/>
      <c r="G53" s="72"/>
      <c r="H53" s="64"/>
    </row>
    <row r="54" spans="1:9" ht="15" customHeight="1" x14ac:dyDescent="0.25">
      <c r="A54" s="43" t="s">
        <v>157</v>
      </c>
      <c r="B54" s="46">
        <f>SUM(B55:B56)</f>
        <v>690.3</v>
      </c>
      <c r="C54" s="46">
        <f>SUM(C55:C56)</f>
        <v>722.82</v>
      </c>
      <c r="D54" s="64"/>
      <c r="E54" s="93"/>
      <c r="F54" s="72"/>
      <c r="G54" s="73"/>
      <c r="H54" s="64"/>
    </row>
    <row r="55" spans="1:9" ht="15" customHeight="1" x14ac:dyDescent="0.25">
      <c r="A55" s="32" t="s">
        <v>158</v>
      </c>
      <c r="B55" s="44">
        <v>0</v>
      </c>
      <c r="C55" s="44">
        <v>0</v>
      </c>
      <c r="D55" s="64"/>
      <c r="E55" s="93"/>
      <c r="F55" s="72"/>
      <c r="G55" s="72"/>
      <c r="H55" s="64"/>
    </row>
    <row r="56" spans="1:9" ht="15" customHeight="1" x14ac:dyDescent="0.25">
      <c r="A56" s="32" t="s">
        <v>159</v>
      </c>
      <c r="B56" s="49">
        <v>690.3</v>
      </c>
      <c r="C56" s="49">
        <v>722.82</v>
      </c>
      <c r="D56" s="64"/>
      <c r="E56" s="93"/>
      <c r="F56" s="72"/>
      <c r="G56" s="72"/>
      <c r="H56" s="64"/>
    </row>
    <row r="57" spans="1:9" ht="15" customHeight="1" x14ac:dyDescent="0.25">
      <c r="A57" s="51" t="s">
        <v>160</v>
      </c>
      <c r="B57" s="52">
        <f>B50+B51-B54</f>
        <v>-192.28999999999996</v>
      </c>
      <c r="C57" s="52">
        <f>C50+C51-C54</f>
        <v>-398.80000000000007</v>
      </c>
      <c r="D57" s="64"/>
      <c r="E57" s="93"/>
      <c r="F57" s="94"/>
      <c r="G57" s="94"/>
      <c r="H57" s="64"/>
    </row>
    <row r="58" spans="1:9" ht="15" customHeight="1" x14ac:dyDescent="0.25">
      <c r="A58" s="43" t="s">
        <v>161</v>
      </c>
      <c r="B58" s="49"/>
      <c r="C58" s="49"/>
      <c r="D58" s="64"/>
      <c r="E58" s="93"/>
      <c r="F58" s="72"/>
      <c r="G58" s="72"/>
      <c r="H58" s="64"/>
    </row>
    <row r="59" spans="1:9" ht="15" customHeight="1" x14ac:dyDescent="0.25">
      <c r="A59" s="43" t="s">
        <v>162</v>
      </c>
      <c r="B59" s="49">
        <v>0</v>
      </c>
      <c r="C59" s="49">
        <v>0</v>
      </c>
      <c r="D59" s="64"/>
      <c r="E59" s="93"/>
      <c r="F59" s="72"/>
      <c r="G59" s="72"/>
      <c r="H59" s="64"/>
    </row>
    <row r="60" spans="1:9" ht="15" customHeight="1" x14ac:dyDescent="0.25">
      <c r="A60" s="43" t="s">
        <v>163</v>
      </c>
      <c r="B60" s="44">
        <v>0</v>
      </c>
      <c r="C60" s="44">
        <v>0</v>
      </c>
      <c r="D60" s="64"/>
      <c r="E60" s="93"/>
      <c r="F60" s="72"/>
      <c r="G60" s="72"/>
      <c r="H60" s="64"/>
    </row>
    <row r="61" spans="1:9" ht="15" customHeight="1" x14ac:dyDescent="0.25">
      <c r="A61" s="51" t="s">
        <v>164</v>
      </c>
      <c r="B61" s="52">
        <f>B59-B60</f>
        <v>0</v>
      </c>
      <c r="C61" s="52">
        <f>C59-C60</f>
        <v>0</v>
      </c>
      <c r="D61" s="64"/>
      <c r="E61" s="93"/>
      <c r="F61" s="72"/>
      <c r="G61" s="72"/>
      <c r="H61" s="64"/>
    </row>
    <row r="62" spans="1:9" ht="15" hidden="1" customHeight="1" x14ac:dyDescent="0.25">
      <c r="A62" s="43" t="s">
        <v>165</v>
      </c>
      <c r="B62" s="53"/>
      <c r="C62" s="53"/>
      <c r="D62" s="64"/>
      <c r="E62" s="93"/>
      <c r="F62" s="72"/>
      <c r="G62" s="72"/>
      <c r="H62" s="64"/>
    </row>
    <row r="63" spans="1:9" ht="15" hidden="1" customHeight="1" x14ac:dyDescent="0.25">
      <c r="A63" s="43" t="s">
        <v>166</v>
      </c>
      <c r="B63" s="54">
        <v>0</v>
      </c>
      <c r="C63" s="54">
        <v>0</v>
      </c>
      <c r="D63" s="64"/>
      <c r="E63" s="93"/>
      <c r="F63" s="72"/>
      <c r="G63" s="72"/>
      <c r="H63" s="64"/>
    </row>
    <row r="64" spans="1:9" ht="15" hidden="1" customHeight="1" x14ac:dyDescent="0.25">
      <c r="A64" s="43" t="s">
        <v>167</v>
      </c>
      <c r="B64" s="54">
        <v>0</v>
      </c>
      <c r="C64" s="54">
        <v>0</v>
      </c>
      <c r="D64" s="64"/>
      <c r="E64" s="93"/>
      <c r="F64" s="72"/>
      <c r="G64" s="72"/>
      <c r="H64" s="64"/>
    </row>
    <row r="65" spans="1:8" ht="15" hidden="1" customHeight="1" x14ac:dyDescent="0.25">
      <c r="A65" s="51" t="s">
        <v>168</v>
      </c>
      <c r="B65" s="52">
        <f>B63-B64</f>
        <v>0</v>
      </c>
      <c r="C65" s="52">
        <f>C63-C64</f>
        <v>0</v>
      </c>
      <c r="D65" s="64"/>
      <c r="E65" s="93"/>
      <c r="F65" s="72"/>
      <c r="G65" s="70"/>
      <c r="H65" s="64"/>
    </row>
    <row r="66" spans="1:8" ht="15" customHeight="1" x14ac:dyDescent="0.25">
      <c r="A66" s="43" t="s">
        <v>169</v>
      </c>
      <c r="B66" s="48">
        <f>B48+B57+B61+B65</f>
        <v>338678.37000000017</v>
      </c>
      <c r="C66" s="48">
        <f>C48+C57+C61+C65</f>
        <v>220237.36999999994</v>
      </c>
      <c r="D66" s="65"/>
      <c r="E66" s="93"/>
      <c r="F66" s="72"/>
      <c r="G66" s="72"/>
      <c r="H66" s="64"/>
    </row>
    <row r="67" spans="1:8" ht="15" customHeight="1" x14ac:dyDescent="0.25">
      <c r="A67" s="32" t="s">
        <v>170</v>
      </c>
      <c r="B67" s="44">
        <f>52473.61+2470</f>
        <v>54943.61</v>
      </c>
      <c r="C67" s="44">
        <v>65720.95</v>
      </c>
      <c r="D67" s="65"/>
      <c r="E67" s="93"/>
      <c r="F67" s="94"/>
      <c r="G67" s="94"/>
      <c r="H67" s="64"/>
    </row>
    <row r="68" spans="1:8" ht="15" customHeight="1" x14ac:dyDescent="0.25">
      <c r="A68" s="51" t="s">
        <v>171</v>
      </c>
      <c r="B68" s="52">
        <f>B66-B67</f>
        <v>283734.76000000018</v>
      </c>
      <c r="C68" s="52">
        <f>C66-C67</f>
        <v>154516.41999999993</v>
      </c>
      <c r="D68" s="65"/>
      <c r="E68" s="93"/>
      <c r="F68" s="94"/>
      <c r="G68" s="94"/>
      <c r="H68" s="64"/>
    </row>
  </sheetData>
  <mergeCells count="10">
    <mergeCell ref="A9:C9"/>
    <mergeCell ref="F9:G9"/>
    <mergeCell ref="F57:G57"/>
    <mergeCell ref="F67:G67"/>
    <mergeCell ref="F68:G68"/>
    <mergeCell ref="A1:C1"/>
    <mergeCell ref="A2:C2"/>
    <mergeCell ref="A3:C3"/>
    <mergeCell ref="A6:C6"/>
    <mergeCell ref="A7:C7"/>
  </mergeCells>
  <pageMargins left="0.70866141732283472" right="0.70866141732283472" top="0.74803149606299213" bottom="0.74803149606299213" header="0.51181102362204722" footer="0.51181102362204722"/>
  <pageSetup paperSize="9" scale="85" firstPageNumber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6</vt:i4>
      </vt:variant>
    </vt:vector>
  </HeadingPairs>
  <TitlesOfParts>
    <vt:vector size="8" baseType="lpstr">
      <vt:lpstr>StatoPatrimoniale</vt:lpstr>
      <vt:lpstr>ContoEconomico</vt:lpstr>
      <vt:lpstr>ContoEconomico!Area_stampa</vt:lpstr>
      <vt:lpstr>StatoPatrimoniale!Area_stampa</vt:lpstr>
      <vt:lpstr>ContoEconomico!Print_Area_0</vt:lpstr>
      <vt:lpstr>StatoPatrimoniale!Print_Area_0</vt:lpstr>
      <vt:lpstr>ContoEconomico!Print_Area_0_0</vt:lpstr>
      <vt:lpstr>StatoPatrimoniale!Print_Area_0_0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</dc:creator>
  <dc:description/>
  <cp:lastModifiedBy>Catia Biliotti</cp:lastModifiedBy>
  <cp:revision>7</cp:revision>
  <cp:lastPrinted>2023-05-31T10:39:15Z</cp:lastPrinted>
  <dcterms:created xsi:type="dcterms:W3CDTF">2015-07-14T19:28:16Z</dcterms:created>
  <dcterms:modified xsi:type="dcterms:W3CDTF">2023-06-23T11:39:28Z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