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iotti.PARCOMAREMMA\Desktop\CATIA BILIOTTI cartelle al 12Luglio2019_FUORI SERVER\BILANCI TRASPARENZA\BILCONSUNTIVI 2013_2020 SINTETICI formato tabellare aperto\"/>
    </mc:Choice>
  </mc:AlternateContent>
  <xr:revisionPtr revIDLastSave="0" documentId="13_ncr:1_{9BE6AD71-6CD3-4675-8F44-901B0D9D5E3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tatoPatrimoniale" sheetId="1" r:id="rId1"/>
    <sheet name="ContoEconomico" sheetId="2" r:id="rId2"/>
  </sheets>
  <definedNames>
    <definedName name="_xlnm.Print_Area" localSheetId="1">ContoEconomico!$A$1:$C$68</definedName>
    <definedName name="_xlnm.Print_Area" localSheetId="0">StatoPatrimoniale!$A$1:$F$83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8" i="2" l="1"/>
  <c r="B30" i="2" l="1"/>
  <c r="B29" i="2" l="1"/>
  <c r="E80" i="1"/>
  <c r="B27" i="1" l="1"/>
  <c r="E65" i="1"/>
  <c r="B60" i="1"/>
  <c r="E60" i="1" l="1"/>
  <c r="B67" i="2" l="1"/>
  <c r="E27" i="1" l="1"/>
  <c r="B63" i="1"/>
  <c r="B23" i="2" l="1"/>
  <c r="E33" i="1" l="1"/>
  <c r="B61" i="1" l="1"/>
  <c r="B34" i="1"/>
  <c r="B26" i="1"/>
  <c r="B32" i="1"/>
  <c r="B31" i="1"/>
  <c r="B30" i="1"/>
  <c r="B25" i="1"/>
  <c r="B21" i="1"/>
  <c r="B20" i="1"/>
  <c r="B19" i="1"/>
  <c r="C81" i="1"/>
  <c r="C71" i="1"/>
  <c r="C67" i="1"/>
  <c r="C63" i="1"/>
  <c r="C61" i="1"/>
  <c r="C60" i="1"/>
  <c r="C50" i="1" s="1"/>
  <c r="C76" i="1" s="1"/>
  <c r="C36" i="1"/>
  <c r="C31" i="1"/>
  <c r="C30" i="1"/>
  <c r="C26" i="1"/>
  <c r="C25" i="1"/>
  <c r="C24" i="1"/>
  <c r="C19" i="1"/>
  <c r="C15" i="1" s="1"/>
  <c r="B28" i="2"/>
  <c r="B22" i="2"/>
  <c r="C22" i="1" l="1"/>
  <c r="C41" i="1"/>
  <c r="B15" i="1"/>
  <c r="C83" i="1"/>
  <c r="B34" i="2"/>
  <c r="B53" i="2"/>
  <c r="B51" i="2" s="1"/>
  <c r="B33" i="2"/>
  <c r="B32" i="2" s="1"/>
  <c r="B15" i="2"/>
  <c r="B12" i="2" s="1"/>
  <c r="B25" i="2" s="1"/>
  <c r="C65" i="2" l="1"/>
  <c r="C61" i="2"/>
  <c r="C54" i="2"/>
  <c r="C51" i="2"/>
  <c r="C38" i="2"/>
  <c r="C34" i="2"/>
  <c r="C32" i="2" s="1"/>
  <c r="C30" i="2"/>
  <c r="C29" i="2"/>
  <c r="C28" i="2" s="1"/>
  <c r="C47" i="2" s="1"/>
  <c r="C23" i="2"/>
  <c r="C22" i="2" s="1"/>
  <c r="C18" i="2"/>
  <c r="C17" i="2"/>
  <c r="C15" i="2"/>
  <c r="C12" i="2" l="1"/>
  <c r="C25" i="2" s="1"/>
  <c r="C48" i="2" s="1"/>
  <c r="C57" i="2"/>
  <c r="C66" i="2" l="1"/>
  <c r="C68" i="2" s="1"/>
  <c r="F18" i="1"/>
  <c r="E18" i="1"/>
  <c r="B71" i="1" l="1"/>
  <c r="E16" i="1" l="1"/>
  <c r="E15" i="1" l="1"/>
  <c r="E14" i="1" s="1"/>
  <c r="F67" i="1" l="1"/>
  <c r="F13" i="1"/>
  <c r="F37" i="1" l="1"/>
  <c r="F81" i="1"/>
  <c r="F23" i="1"/>
  <c r="F83" i="1" l="1"/>
  <c r="E67" i="1" l="1"/>
  <c r="B47" i="2" l="1"/>
  <c r="E37" i="1"/>
  <c r="B61" i="2" l="1"/>
  <c r="B65" i="2" l="1"/>
  <c r="B24" i="1" l="1"/>
  <c r="B22" i="1" s="1"/>
  <c r="E13" i="1" l="1"/>
  <c r="E23" i="1" s="1"/>
  <c r="B54" i="2" l="1"/>
  <c r="B57" i="2" s="1"/>
  <c r="E81" i="1"/>
  <c r="B50" i="1"/>
  <c r="B81" i="1"/>
  <c r="B36" i="1"/>
  <c r="B41" i="1" l="1"/>
  <c r="E83" i="1"/>
  <c r="B76" i="1"/>
  <c r="B83" i="1" l="1"/>
  <c r="B48" i="2" l="1"/>
  <c r="B66" i="2" l="1"/>
  <c r="B68" i="2" l="1"/>
</calcChain>
</file>

<file path=xl/sharedStrings.xml><?xml version="1.0" encoding="utf-8"?>
<sst xmlns="http://schemas.openxmlformats.org/spreadsheetml/2006/main" count="200" uniqueCount="173">
  <si>
    <t>ATTIVO</t>
  </si>
  <si>
    <t>PASSIVO</t>
  </si>
  <si>
    <t>I. Immobilizzazioni Immateriali</t>
  </si>
  <si>
    <t>1) Costi di impianto e ampliamento</t>
  </si>
  <si>
    <t>2) Costi di ricerca e sviluppo</t>
  </si>
  <si>
    <t>4) concessioni, licenze, marchi e diritti simili</t>
  </si>
  <si>
    <t>5) Altre immobilizzazioni immateriali</t>
  </si>
  <si>
    <t>6) Immobilizzazioni in corso e acconti</t>
  </si>
  <si>
    <t>II. Immobilizzazioni Materiali</t>
  </si>
  <si>
    <t>9) Immobilizzazioni in corso e acconti</t>
  </si>
  <si>
    <t>III. Immobilizzazioni Finanziarie</t>
  </si>
  <si>
    <t>con separata indicazione di quelle concesse in locazione finanziaria</t>
  </si>
  <si>
    <t>Totale Immobizzazioni (A)</t>
  </si>
  <si>
    <t>A) PATRIMONIO NETTO</t>
  </si>
  <si>
    <t>I. Fondo di dotazione</t>
  </si>
  <si>
    <t>II. Riserve</t>
  </si>
  <si>
    <t>1) Riserva legale</t>
  </si>
  <si>
    <t>2) Riserve vincolate ad investimenti</t>
  </si>
  <si>
    <t>3) Altre riserve</t>
  </si>
  <si>
    <t>3) Diritti di brevetto e di utilizzazione opere ingegno</t>
  </si>
  <si>
    <t>Totale Patrimonio Netto (A)</t>
  </si>
  <si>
    <t>B) FONDI PER RISCHI ED ONERI</t>
  </si>
  <si>
    <t>Totale Fondi per rischi ed oneri (B)</t>
  </si>
  <si>
    <t>C) TRATTAMENTO DI FINE RAPPORTO DI LAVORO SUBORDINATO</t>
  </si>
  <si>
    <t>D) DEBITI</t>
  </si>
  <si>
    <t>con separata indicazione per ciascuna voce degli importi esigibili entro l'esercizio successivo</t>
  </si>
  <si>
    <t>con separata indicazione per ciascuna voce, degli importi esigibili entro l'esercizio successivo</t>
  </si>
  <si>
    <t>1) Materie prime sussidiarie e di consumo</t>
  </si>
  <si>
    <t>II. Crediti</t>
  </si>
  <si>
    <t>I. Rimanenze</t>
  </si>
  <si>
    <t>1) Debiti verso Banche</t>
  </si>
  <si>
    <t>entro 12 mesi</t>
  </si>
  <si>
    <t>oltre 12 mesi</t>
  </si>
  <si>
    <t>2) Debiti verso Regione Toscana</t>
  </si>
  <si>
    <t>3) Debiti verso altri soggetti pubblici</t>
  </si>
  <si>
    <t>con separata indicazione per ciascuna voce, degli</t>
  </si>
  <si>
    <t>importi esigibili entro l'esercizio successivo</t>
  </si>
  <si>
    <t>4) Debiti verso fornitori</t>
  </si>
  <si>
    <t>1) Crediti verso Regione</t>
  </si>
  <si>
    <t>2) Crediti verso altri Enti pubblici</t>
  </si>
  <si>
    <t>5) Debiti Tributari</t>
  </si>
  <si>
    <t>3) Crediti verso soggetti privati</t>
  </si>
  <si>
    <t>4) Crediti verso l'Erario</t>
  </si>
  <si>
    <t>5) Crediti verso altri</t>
  </si>
  <si>
    <t>IV. Disponibilità Liquide</t>
  </si>
  <si>
    <t>Totale Attivo Circolante (B)</t>
  </si>
  <si>
    <t>Totale Debiti (D)</t>
  </si>
  <si>
    <t>E) RATEI E RISCONTI</t>
  </si>
  <si>
    <t>TOTALE ATTIVO</t>
  </si>
  <si>
    <t>TOTALE PASSIVO</t>
  </si>
  <si>
    <t>Totale Ratei e Risconti (E)</t>
  </si>
  <si>
    <t>Totale Ratei e Risconti C)</t>
  </si>
  <si>
    <t>Ratei Attivi</t>
  </si>
  <si>
    <t>Risconti Attivi</t>
  </si>
  <si>
    <t>Ratei Passivi</t>
  </si>
  <si>
    <t>Risconti Passivi</t>
  </si>
  <si>
    <t>Codice Fiscale 80004430536 - Partita I.V.A. 00238180533</t>
  </si>
  <si>
    <t xml:space="preserve">ENTE PARCO REGIONALE DELLA MAREMMA </t>
  </si>
  <si>
    <t>A) VALORE DELLA PRODUZIONE</t>
  </si>
  <si>
    <t>A.1) Ricavi delle vendite e delle prestazioni</t>
  </si>
  <si>
    <t>A.2) Variazione delle rimanenze di prodotti in corso di lavorazione,semilavorati e finiti</t>
  </si>
  <si>
    <t>A.3) Variazione dei lavori in corso su ordinazione</t>
  </si>
  <si>
    <t>A.4) Incrementi di immobilizzazioni per lavori interni (costi capitalizzati)</t>
  </si>
  <si>
    <t>Totale valore della produzione (A)</t>
  </si>
  <si>
    <t>B.6) Acquisti di beni</t>
  </si>
  <si>
    <t>B.7) Acquisti di servizi</t>
  </si>
  <si>
    <t>B.7.a) Manutenzioni e riparazioni</t>
  </si>
  <si>
    <t>B.7.b) Altri acquisti di servizi</t>
  </si>
  <si>
    <t>B.8) Godimento di beni di terzi</t>
  </si>
  <si>
    <t>B.9) Personale</t>
  </si>
  <si>
    <t>B.9.a) Salari e stipendi</t>
  </si>
  <si>
    <t>B.9.b) Oneri sociali</t>
  </si>
  <si>
    <t>B.9 c) Trattamento di fine rapporto</t>
  </si>
  <si>
    <t>B.9.d) Trattamento di quiescenza e simili</t>
  </si>
  <si>
    <t>B.9.e) Altri costi</t>
  </si>
  <si>
    <t>B.10) Ammortamenti e svalutazioni</t>
  </si>
  <si>
    <t>B.10.a) Ammortamento immobilizzazioni immateriali</t>
  </si>
  <si>
    <t>B.10.b) Ammortamento immobilizzzioni materiali</t>
  </si>
  <si>
    <t>B.11) Variazione delle rimanenze di materie prime,sussidiarie,di consumo e merci</t>
  </si>
  <si>
    <t>B.12) Accantonamenti per rischi ed oneri</t>
  </si>
  <si>
    <t xml:space="preserve">B.13) Altri Accantonamenti </t>
  </si>
  <si>
    <t>B.14) Oneri diversi di gestione</t>
  </si>
  <si>
    <t>DIFFERENZA TRA VALORE E COSTI DELLA PRODUZIONE (A-B)</t>
  </si>
  <si>
    <t>C) PROVENTI ED ONERI FINANZIARI</t>
  </si>
  <si>
    <t>Totale C)</t>
  </si>
  <si>
    <t>D) RETTIFICHE DI VALORE DI  ATTIVITA' FINANZIARIE</t>
  </si>
  <si>
    <t>D.1) Rivalutazioni</t>
  </si>
  <si>
    <t>D.2) Svalutazioni</t>
  </si>
  <si>
    <t>Totale D)</t>
  </si>
  <si>
    <t>E) PROVENTI ED ONERI STRAORDINARI</t>
  </si>
  <si>
    <t>E.1)Proventi straordinari</t>
  </si>
  <si>
    <t>E.2) Oneri straordinari</t>
  </si>
  <si>
    <t>Totale E)</t>
  </si>
  <si>
    <t>Imposte d'esercizio, correnti,differite e anticipate</t>
  </si>
  <si>
    <t>UTILE (O PERDITA) DELL'ESERCIZIO</t>
  </si>
  <si>
    <t>B) COSTI DELLA PRODUZIONE</t>
  </si>
  <si>
    <t xml:space="preserve">entro 12 mesi </t>
  </si>
  <si>
    <t>RISULTATO PRIMA DELLE IMPOSTE (AB +-C+-D)</t>
  </si>
  <si>
    <t>Redatto ai sensi della delibera di G.R. Toscana n. 496 del 16/04/2019</t>
  </si>
  <si>
    <t>2) Fondo imposte anche differite</t>
  </si>
  <si>
    <t>4 g) Fondi per la contrattazione di secondo livello</t>
  </si>
  <si>
    <t>1) Fondo per trattamento di quiescenza ed obblighi simili</t>
  </si>
  <si>
    <t>A.1.a) Contributi per l'attuazione del Piano/Programma delle attività</t>
  </si>
  <si>
    <t>A.1.b) Contributi della Regione per il funzionamento</t>
  </si>
  <si>
    <t xml:space="preserve">A.1.c) Altri contributi della Regione </t>
  </si>
  <si>
    <t>A.1.d) Contributi per l'erogazione di benefici a terzi</t>
  </si>
  <si>
    <t>A.1.e) Contributi da altri soggetti pubblici</t>
  </si>
  <si>
    <t>A.1.f) Ricavi prestazioni attività commerciale</t>
  </si>
  <si>
    <t>A.5) Altri ricavi e proventi con separata indicazione dei contributi in conto esercizio</t>
  </si>
  <si>
    <t>A.5.a) Altri ricavi e proventi, concorsi recuperi e rimborsi</t>
  </si>
  <si>
    <t>A.5.b) Costi sterilizzati da utilizzo contributi per investimenti</t>
  </si>
  <si>
    <t>Totale costi della produzione (B)</t>
  </si>
  <si>
    <t>C.15) Proventi da partecipazioni</t>
  </si>
  <si>
    <t>C.16) Altri proventi finanziari</t>
  </si>
  <si>
    <t>C.16 d) Interessi attivi su c/c bancari e postali</t>
  </si>
  <si>
    <t>C.16 e) Proventi diversi dai precedenti</t>
  </si>
  <si>
    <t>C.17) Interessi passivi ed altri oneri finanziari</t>
  </si>
  <si>
    <t>C.17 a) Interessi passivi su debiti finanziari</t>
  </si>
  <si>
    <t>C.17 b) Altri oneri finanziari</t>
  </si>
  <si>
    <t>B) IMMOBILIZZAZIONI (valore netto)</t>
  </si>
  <si>
    <t>A) Crediti verso la Regione per versamenti ancora dovuti a valere sul Fondo di dotazione</t>
  </si>
  <si>
    <t>1a) Terreni</t>
  </si>
  <si>
    <t>1b) Fabbricati ad uso istituzionale e commerciale</t>
  </si>
  <si>
    <t>3) Attrezzature istituzionali e commerciali (21 -28-33-34)</t>
  </si>
  <si>
    <t>1) Terreni e Fabbricati</t>
  </si>
  <si>
    <t>4) Altri beni</t>
  </si>
  <si>
    <t>2) Impianti e macchinario (17 - 35)</t>
  </si>
  <si>
    <t>4b) Mobili e arredi (22-23-24)</t>
  </si>
  <si>
    <t>4c) Mezzi di trasportoi (25)</t>
  </si>
  <si>
    <t>4d)Equipaggiamento e vestiario</t>
  </si>
  <si>
    <t>4a) Macchinari d'ufficio</t>
  </si>
  <si>
    <t>4e)Materiale bibliografico</t>
  </si>
  <si>
    <t>4f) Hardware (29-32)</t>
  </si>
  <si>
    <t>1) Partecipazioni</t>
  </si>
  <si>
    <t>2) Crediti finanziari</t>
  </si>
  <si>
    <t>3) Altri titoli</t>
  </si>
  <si>
    <t>5) Acconti</t>
  </si>
  <si>
    <t>2) Prodotti in corso di lavorazione e semilavorati</t>
  </si>
  <si>
    <t>3) Lavori in corso su ordinazione</t>
  </si>
  <si>
    <t>4) Prodotti finiti</t>
  </si>
  <si>
    <t>6) Fabbricati destinati alla vendita</t>
  </si>
  <si>
    <t>III. Attività Finanziarie che non costituiscono Immobilizzazioni</t>
  </si>
  <si>
    <t>2) Altri titoli</t>
  </si>
  <si>
    <t>1) Istituto tesoriere/cassiere</t>
  </si>
  <si>
    <t>2) Depositi bancari e postali</t>
  </si>
  <si>
    <t>2bis) Depositi bancari vincolati alla gestione di Fondi in amministrazione</t>
  </si>
  <si>
    <t>3) Denaro e valori in cassa</t>
  </si>
  <si>
    <t>III. Riserve indisponibili</t>
  </si>
  <si>
    <t>1) Riserve indisponibili</t>
  </si>
  <si>
    <t>IV. Donazioni e lasciti</t>
  </si>
  <si>
    <t>3)Fondo per strumenti finanziari derivati passivi</t>
  </si>
  <si>
    <t>4) Altri Fondi:</t>
  </si>
  <si>
    <t>4 a) Fondi per cause in corso (compresi i contenziosi da sinistri)</t>
  </si>
  <si>
    <t>4 b) Fondo per rischi su crediti</t>
  </si>
  <si>
    <t>4 c) Fondi per manutenzione ciclica</t>
  </si>
  <si>
    <t xml:space="preserve">4 d) Fondi per contratti onerosi </t>
  </si>
  <si>
    <t>4 e) Fondi per recupero ambientale</t>
  </si>
  <si>
    <t>4 f) Fondi per rinnovi contrattuali</t>
  </si>
  <si>
    <t>2 bis) Debiti verso Regione Toscana per finanziamenti</t>
  </si>
  <si>
    <t>9) Altri debiti</t>
  </si>
  <si>
    <t>7) debiti verso la Regione o altri Enti per Fondi in amministrazione</t>
  </si>
  <si>
    <t>8) Acconti</t>
  </si>
  <si>
    <t>C) ATTIVO CIRCOLANTE</t>
  </si>
  <si>
    <t>D) RATEI E RISCONTI</t>
  </si>
  <si>
    <t>V. Utile (perdite) portate a nuovo</t>
  </si>
  <si>
    <t>VI. Utile (perdita) di esercizio</t>
  </si>
  <si>
    <t>Grosseto - Frazione Alberese - via del Bersagliere n.7/9</t>
  </si>
  <si>
    <t>CONTO ECONOMICO AL 31/12/2020</t>
  </si>
  <si>
    <t>STATO PATRIMONIALE AL 31/12/2020</t>
  </si>
  <si>
    <t>6) debiti verso istituti previdenziali e assicurativi</t>
  </si>
  <si>
    <t>Bilancio dell'esercizio dal 01/01/2020 al 31/12/2020</t>
  </si>
  <si>
    <t>B.10.c) Altre svalutazioni delle immobilizzazioni</t>
  </si>
  <si>
    <t>B.10.d) Svalutazione dei crediti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</si>
</sst>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i/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wrapText="1"/>
    </xf>
    <xf numFmtId="4" fontId="4" fillId="0" borderId="0" xfId="0" applyNumberFormat="1" applyFont="1" applyBorder="1"/>
    <xf numFmtId="4" fontId="4" fillId="0" borderId="0" xfId="0" applyNumberFormat="1" applyFont="1"/>
    <xf numFmtId="0" fontId="4" fillId="0" borderId="0" xfId="0" applyNumberFormat="1" applyFont="1" applyBorder="1"/>
    <xf numFmtId="0" fontId="3" fillId="0" borderId="0" xfId="0" applyFont="1" applyFill="1" applyAlignment="1">
      <alignment horizontal="center"/>
    </xf>
    <xf numFmtId="14" fontId="6" fillId="3" borderId="0" xfId="0" applyNumberFormat="1" applyFont="1" applyFill="1" applyAlignment="1">
      <alignment vertical="center"/>
    </xf>
    <xf numFmtId="4" fontId="7" fillId="5" borderId="0" xfId="0" applyNumberFormat="1" applyFont="1" applyFill="1" applyBorder="1"/>
    <xf numFmtId="4" fontId="7" fillId="5" borderId="0" xfId="0" applyNumberFormat="1" applyFont="1" applyFill="1"/>
    <xf numFmtId="0" fontId="7" fillId="0" borderId="0" xfId="0" applyFont="1" applyBorder="1" applyAlignment="1">
      <alignment wrapText="1"/>
    </xf>
    <xf numFmtId="4" fontId="6" fillId="5" borderId="0" xfId="0" applyNumberFormat="1" applyFont="1" applyFill="1"/>
    <xf numFmtId="4" fontId="6" fillId="5" borderId="0" xfId="0" applyNumberFormat="1" applyFont="1" applyFill="1" applyBorder="1"/>
    <xf numFmtId="4" fontId="7" fillId="5" borderId="0" xfId="0" applyNumberFormat="1" applyFont="1" applyFill="1" applyBorder="1" applyAlignment="1">
      <alignment horizontal="right"/>
    </xf>
    <xf numFmtId="4" fontId="6" fillId="3" borderId="0" xfId="0" applyNumberFormat="1" applyFont="1" applyFill="1"/>
    <xf numFmtId="0" fontId="6" fillId="3" borderId="0" xfId="0" applyFont="1" applyFill="1" applyAlignment="1">
      <alignment vertical="top" wrapText="1"/>
    </xf>
    <xf numFmtId="4" fontId="7" fillId="3" borderId="0" xfId="0" applyNumberFormat="1" applyFont="1" applyFill="1"/>
    <xf numFmtId="4" fontId="6" fillId="3" borderId="0" xfId="0" applyNumberFormat="1" applyFont="1" applyFill="1" applyBorder="1"/>
    <xf numFmtId="0" fontId="7" fillId="0" borderId="0" xfId="0" applyFont="1" applyAlignment="1">
      <alignment vertical="top" wrapText="1"/>
    </xf>
    <xf numFmtId="4" fontId="6" fillId="6" borderId="0" xfId="0" applyNumberFormat="1" applyFont="1" applyFill="1" applyBorder="1"/>
    <xf numFmtId="4" fontId="6" fillId="6" borderId="0" xfId="0" applyNumberFormat="1" applyFont="1" applyFill="1"/>
    <xf numFmtId="0" fontId="4" fillId="0" borderId="0" xfId="0" applyFont="1" applyAlignment="1">
      <alignment wrapText="1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vertical="top" wrapText="1"/>
    </xf>
    <xf numFmtId="0" fontId="6" fillId="3" borderId="0" xfId="0" applyFont="1" applyFill="1" applyBorder="1" applyAlignment="1">
      <alignment wrapText="1"/>
    </xf>
    <xf numFmtId="0" fontId="6" fillId="4" borderId="0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6" fillId="6" borderId="0" xfId="0" applyFont="1" applyFill="1" applyBorder="1" applyAlignment="1">
      <alignment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3" borderId="0" xfId="0" applyFont="1" applyFill="1" applyAlignment="1">
      <alignment wrapText="1"/>
    </xf>
    <xf numFmtId="14" fontId="6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4" fontId="7" fillId="2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top"/>
    </xf>
    <xf numFmtId="4" fontId="6" fillId="2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3" borderId="0" xfId="0" applyFont="1" applyFill="1" applyBorder="1" applyAlignment="1">
      <alignment vertical="top" wrapText="1"/>
    </xf>
    <xf numFmtId="4" fontId="6" fillId="3" borderId="0" xfId="0" applyNumberFormat="1" applyFont="1" applyFill="1" applyBorder="1" applyAlignment="1">
      <alignment vertical="center"/>
    </xf>
    <xf numFmtId="4" fontId="4" fillId="5" borderId="0" xfId="0" applyNumberFormat="1" applyFont="1" applyFill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7" fillId="0" borderId="0" xfId="0" applyFont="1"/>
    <xf numFmtId="0" fontId="3" fillId="5" borderId="0" xfId="0" applyFont="1" applyFill="1" applyAlignment="1">
      <alignment horizontal="center" wrapText="1"/>
    </xf>
    <xf numFmtId="0" fontId="3" fillId="5" borderId="0" xfId="0" applyFont="1" applyFill="1" applyAlignment="1">
      <alignment horizontal="center"/>
    </xf>
    <xf numFmtId="4" fontId="3" fillId="5" borderId="0" xfId="0" applyNumberFormat="1" applyFont="1" applyFill="1" applyAlignment="1">
      <alignment horizontal="center"/>
    </xf>
    <xf numFmtId="4" fontId="7" fillId="5" borderId="0" xfId="0" applyNumberFormat="1" applyFont="1" applyFill="1" applyBorder="1" applyAlignment="1">
      <alignment vertical="center"/>
    </xf>
    <xf numFmtId="4" fontId="6" fillId="5" borderId="0" xfId="0" applyNumberFormat="1" applyFont="1" applyFill="1" applyBorder="1" applyAlignment="1">
      <alignment vertical="top"/>
    </xf>
    <xf numFmtId="4" fontId="6" fillId="5" borderId="0" xfId="0" applyNumberFormat="1" applyFont="1" applyFill="1" applyBorder="1" applyAlignment="1">
      <alignment vertical="center"/>
    </xf>
    <xf numFmtId="4" fontId="7" fillId="5" borderId="0" xfId="0" applyNumberFormat="1" applyFont="1" applyFill="1" applyBorder="1" applyAlignment="1">
      <alignment vertical="top"/>
    </xf>
    <xf numFmtId="0" fontId="6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</cellXfs>
  <cellStyles count="2">
    <cellStyle name="Excel Built-in Normal" xfId="1" xr:uid="{00000000-0005-0000-0000-000000000000}"/>
    <cellStyle name="Normale" xfId="0" builtinId="0"/>
  </cellStyles>
  <dxfs count="0"/>
  <tableStyles count="0" defaultTableStyle="TableStyleMedium9" defaultPivotStyle="PivotStyleLight16"/>
  <colors>
    <mruColors>
      <color rgb="FFCCFF66"/>
      <color rgb="FFCCFFCC"/>
      <color rgb="FF99FF66"/>
      <color rgb="FFB7CE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2"/>
  <sheetViews>
    <sheetView topLeftCell="A73" zoomScale="120" zoomScaleNormal="120" workbookViewId="0">
      <selection activeCell="A84" sqref="A84:XFD84"/>
    </sheetView>
  </sheetViews>
  <sheetFormatPr defaultRowHeight="12.75" x14ac:dyDescent="0.2"/>
  <cols>
    <col min="1" max="1" width="24.28515625" style="23" customWidth="1"/>
    <col min="2" max="3" width="11.28515625" style="2" bestFit="1" customWidth="1"/>
    <col min="4" max="4" width="27.85546875" style="23" customWidth="1"/>
    <col min="5" max="5" width="12.42578125" style="6" customWidth="1"/>
    <col min="6" max="6" width="13.7109375" style="6" bestFit="1" customWidth="1"/>
    <col min="7" max="16384" width="9.140625" style="2"/>
  </cols>
  <sheetData>
    <row r="1" spans="1:6" ht="28.5" customHeight="1" x14ac:dyDescent="0.2">
      <c r="A1" s="56" t="s">
        <v>57</v>
      </c>
      <c r="B1" s="56"/>
      <c r="C1" s="56"/>
      <c r="D1" s="56"/>
      <c r="E1" s="56"/>
      <c r="F1" s="56"/>
    </row>
    <row r="2" spans="1:6" x14ac:dyDescent="0.2">
      <c r="A2" s="57" t="s">
        <v>166</v>
      </c>
      <c r="B2" s="57"/>
      <c r="C2" s="57"/>
      <c r="D2" s="57"/>
      <c r="E2" s="57"/>
      <c r="F2" s="57"/>
    </row>
    <row r="3" spans="1:6" x14ac:dyDescent="0.2">
      <c r="A3" s="57" t="s">
        <v>56</v>
      </c>
      <c r="B3" s="57"/>
      <c r="C3" s="57"/>
      <c r="D3" s="57"/>
      <c r="E3" s="57"/>
      <c r="F3" s="57"/>
    </row>
    <row r="4" spans="1:6" x14ac:dyDescent="0.2">
      <c r="A4" s="48"/>
      <c r="B4" s="49"/>
      <c r="C4" s="49"/>
      <c r="D4" s="48"/>
      <c r="E4" s="50"/>
      <c r="F4" s="50"/>
    </row>
    <row r="6" spans="1:6" ht="20.100000000000001" customHeight="1" x14ac:dyDescent="0.2">
      <c r="A6" s="58" t="s">
        <v>170</v>
      </c>
      <c r="B6" s="58"/>
      <c r="C6" s="58"/>
      <c r="D6" s="58"/>
      <c r="E6" s="58"/>
      <c r="F6" s="58"/>
    </row>
    <row r="7" spans="1:6" ht="20.100000000000001" customHeight="1" x14ac:dyDescent="0.2">
      <c r="A7" s="58" t="s">
        <v>98</v>
      </c>
      <c r="B7" s="58"/>
      <c r="C7" s="58"/>
      <c r="D7" s="58"/>
      <c r="E7" s="58"/>
      <c r="F7" s="58"/>
    </row>
    <row r="9" spans="1:6" ht="15.75" customHeight="1" x14ac:dyDescent="0.2">
      <c r="A9" s="55" t="s">
        <v>168</v>
      </c>
      <c r="B9" s="55"/>
      <c r="C9" s="55"/>
      <c r="D9" s="55"/>
      <c r="E9" s="55"/>
      <c r="F9" s="55"/>
    </row>
    <row r="10" spans="1:6" x14ac:dyDescent="0.2">
      <c r="A10" s="55"/>
      <c r="B10" s="55"/>
      <c r="C10" s="55"/>
      <c r="D10" s="55"/>
      <c r="E10" s="55"/>
      <c r="F10" s="55"/>
    </row>
    <row r="11" spans="1:6" ht="28.5" customHeight="1" x14ac:dyDescent="0.2">
      <c r="A11" s="24" t="s">
        <v>0</v>
      </c>
      <c r="B11" s="9">
        <v>44196</v>
      </c>
      <c r="C11" s="9">
        <v>43830</v>
      </c>
      <c r="D11" s="31" t="s">
        <v>1</v>
      </c>
      <c r="E11" s="9">
        <v>44196</v>
      </c>
      <c r="F11" s="9">
        <v>43830</v>
      </c>
    </row>
    <row r="12" spans="1:6" ht="33.75" x14ac:dyDescent="0.2">
      <c r="A12" s="32" t="s">
        <v>120</v>
      </c>
      <c r="B12" s="14">
        <v>0</v>
      </c>
      <c r="C12" s="14">
        <v>0</v>
      </c>
      <c r="D12" s="32" t="s">
        <v>13</v>
      </c>
      <c r="E12" s="11"/>
      <c r="F12" s="11"/>
    </row>
    <row r="13" spans="1:6" ht="23.25" customHeight="1" x14ac:dyDescent="0.2">
      <c r="A13" s="25" t="s">
        <v>119</v>
      </c>
      <c r="B13" s="10"/>
      <c r="C13" s="10"/>
      <c r="D13" s="32" t="s">
        <v>14</v>
      </c>
      <c r="E13" s="13">
        <f>348656.24-4741.14</f>
        <v>343915.1</v>
      </c>
      <c r="F13" s="13">
        <f>348656.24-4741.14</f>
        <v>343915.1</v>
      </c>
    </row>
    <row r="14" spans="1:6" ht="22.5" x14ac:dyDescent="0.2">
      <c r="A14" s="12" t="s">
        <v>11</v>
      </c>
      <c r="B14" s="10"/>
      <c r="C14" s="10"/>
      <c r="D14" s="32" t="s">
        <v>15</v>
      </c>
      <c r="E14" s="13">
        <f>SUM(E15:E17)</f>
        <v>287313.03000000003</v>
      </c>
      <c r="F14" s="13">
        <v>287313.03000000003</v>
      </c>
    </row>
    <row r="15" spans="1:6" x14ac:dyDescent="0.2">
      <c r="A15" s="25" t="s">
        <v>2</v>
      </c>
      <c r="B15" s="14">
        <f>SUM(B16:B21)</f>
        <v>35026.639999999999</v>
      </c>
      <c r="C15" s="14">
        <f>SUM(C16:C21)</f>
        <v>4222.9200000000019</v>
      </c>
      <c r="D15" s="33" t="s">
        <v>16</v>
      </c>
      <c r="E15" s="11">
        <f>38973.4+(54.74*20%)</f>
        <v>38984.347999999998</v>
      </c>
      <c r="F15" s="11">
        <v>38984.35</v>
      </c>
    </row>
    <row r="16" spans="1:6" ht="22.5" x14ac:dyDescent="0.2">
      <c r="A16" s="12" t="s">
        <v>3</v>
      </c>
      <c r="B16" s="10"/>
      <c r="C16" s="10"/>
      <c r="D16" s="33" t="s">
        <v>17</v>
      </c>
      <c r="E16" s="11">
        <f>248284.89+(54.74*80%)</f>
        <v>248328.682</v>
      </c>
      <c r="F16" s="11">
        <v>248328.68</v>
      </c>
    </row>
    <row r="17" spans="1:6" x14ac:dyDescent="0.2">
      <c r="A17" s="12" t="s">
        <v>4</v>
      </c>
      <c r="B17" s="10"/>
      <c r="C17" s="10"/>
      <c r="D17" s="33" t="s">
        <v>18</v>
      </c>
      <c r="E17" s="11"/>
      <c r="F17" s="11"/>
    </row>
    <row r="18" spans="1:6" ht="22.5" x14ac:dyDescent="0.2">
      <c r="A18" s="12" t="s">
        <v>19</v>
      </c>
      <c r="B18" s="10"/>
      <c r="C18" s="10"/>
      <c r="D18" s="32" t="s">
        <v>147</v>
      </c>
      <c r="E18" s="13">
        <f>E19</f>
        <v>0</v>
      </c>
      <c r="F18" s="13">
        <f>F19</f>
        <v>0</v>
      </c>
    </row>
    <row r="19" spans="1:6" ht="22.5" x14ac:dyDescent="0.2">
      <c r="A19" s="12" t="s">
        <v>5</v>
      </c>
      <c r="B19" s="15">
        <f>25644.56-22870.54</f>
        <v>2774.0200000000004</v>
      </c>
      <c r="C19" s="15">
        <f>(21358.75+3309.81+976)-21421.64</f>
        <v>4222.9200000000019</v>
      </c>
      <c r="D19" s="33" t="s">
        <v>148</v>
      </c>
      <c r="E19" s="11">
        <v>0</v>
      </c>
      <c r="F19" s="11">
        <v>0</v>
      </c>
    </row>
    <row r="20" spans="1:6" ht="22.5" x14ac:dyDescent="0.2">
      <c r="A20" s="12" t="s">
        <v>6</v>
      </c>
      <c r="B20" s="10">
        <f>5124-1024.8</f>
        <v>4099.2</v>
      </c>
      <c r="C20" s="10"/>
      <c r="D20" s="32" t="s">
        <v>149</v>
      </c>
      <c r="E20" s="13">
        <v>20266.5</v>
      </c>
      <c r="F20" s="13">
        <v>20266.5</v>
      </c>
    </row>
    <row r="21" spans="1:6" ht="22.5" x14ac:dyDescent="0.2">
      <c r="A21" s="12" t="s">
        <v>7</v>
      </c>
      <c r="B21" s="10">
        <f>28153.42</f>
        <v>28153.42</v>
      </c>
      <c r="C21" s="10"/>
      <c r="D21" s="32" t="s">
        <v>164</v>
      </c>
      <c r="E21" s="11">
        <v>519.09</v>
      </c>
      <c r="F21" s="11">
        <v>0</v>
      </c>
    </row>
    <row r="22" spans="1:6" x14ac:dyDescent="0.2">
      <c r="A22" s="25" t="s">
        <v>8</v>
      </c>
      <c r="B22" s="14">
        <f>SUM(B24:B35)</f>
        <v>1331274.98</v>
      </c>
      <c r="C22" s="14">
        <f>SUM(C24:C35)</f>
        <v>1280889.3500000001</v>
      </c>
      <c r="D22" s="32" t="s">
        <v>165</v>
      </c>
      <c r="E22" s="13">
        <v>1210.7</v>
      </c>
      <c r="F22" s="13">
        <v>519.09</v>
      </c>
    </row>
    <row r="23" spans="1:6" x14ac:dyDescent="0.2">
      <c r="A23" s="12" t="s">
        <v>124</v>
      </c>
      <c r="B23" s="10"/>
      <c r="C23" s="10"/>
      <c r="D23" s="34" t="s">
        <v>20</v>
      </c>
      <c r="E23" s="16">
        <f>E13+E14+E20+E21+E22</f>
        <v>653224.41999999993</v>
      </c>
      <c r="F23" s="16">
        <f>F13+F14+F20+F21+F22</f>
        <v>652013.72</v>
      </c>
    </row>
    <row r="24" spans="1:6" x14ac:dyDescent="0.2">
      <c r="A24" s="45" t="s">
        <v>121</v>
      </c>
      <c r="B24" s="15">
        <f>55342.52+12670.83+24377.91+20266.5</f>
        <v>112657.76</v>
      </c>
      <c r="C24" s="15">
        <f>55342.52+12670.83+24377.91+20266.5</f>
        <v>112657.76</v>
      </c>
      <c r="D24" s="32"/>
      <c r="E24" s="11"/>
      <c r="F24" s="11"/>
    </row>
    <row r="25" spans="1:6" ht="22.5" x14ac:dyDescent="0.2">
      <c r="A25" s="45" t="s">
        <v>122</v>
      </c>
      <c r="B25" s="15">
        <f>(693403.92+636004.93+222173.17+249229.43)-763073.49</f>
        <v>1037737.96</v>
      </c>
      <c r="C25" s="15">
        <f>966219.39+3298.9</f>
        <v>969518.29</v>
      </c>
      <c r="D25" s="32" t="s">
        <v>21</v>
      </c>
      <c r="E25" s="11"/>
      <c r="F25" s="11"/>
    </row>
    <row r="26" spans="1:6" ht="22.5" x14ac:dyDescent="0.2">
      <c r="A26" s="12" t="s">
        <v>126</v>
      </c>
      <c r="B26" s="15">
        <f>128553.46+17886.89-33925.04</f>
        <v>112515.31</v>
      </c>
      <c r="C26" s="15">
        <f>30917.86+17886.89+93015.29+4620.31-18001.13-8649.49</f>
        <v>119789.72999999997</v>
      </c>
      <c r="D26" s="33" t="s">
        <v>101</v>
      </c>
      <c r="E26" s="11">
        <v>0</v>
      </c>
      <c r="F26" s="11">
        <v>0</v>
      </c>
    </row>
    <row r="27" spans="1:6" ht="22.5" x14ac:dyDescent="0.2">
      <c r="A27" s="12" t="s">
        <v>123</v>
      </c>
      <c r="B27" s="15">
        <f>118108.29+45124.4+5294.84+30332.64-91402.84-887.64-45124.4-24293.63</f>
        <v>37151.659999999989</v>
      </c>
      <c r="C27" s="15">
        <v>43452.27</v>
      </c>
      <c r="D27" s="33" t="s">
        <v>99</v>
      </c>
      <c r="E27" s="11">
        <f>38417.03-18548.36</f>
        <v>19868.669999999998</v>
      </c>
      <c r="F27" s="11">
        <v>19962.68</v>
      </c>
    </row>
    <row r="28" spans="1:6" ht="22.5" x14ac:dyDescent="0.2">
      <c r="A28" s="12" t="s">
        <v>125</v>
      </c>
      <c r="B28" s="10"/>
      <c r="C28" s="10"/>
      <c r="D28" s="33" t="s">
        <v>150</v>
      </c>
      <c r="E28" s="11">
        <v>0</v>
      </c>
      <c r="F28" s="11">
        <v>0</v>
      </c>
    </row>
    <row r="29" spans="1:6" x14ac:dyDescent="0.2">
      <c r="A29" s="46" t="s">
        <v>130</v>
      </c>
      <c r="B29" s="10"/>
      <c r="C29" s="10"/>
      <c r="D29" s="33" t="s">
        <v>151</v>
      </c>
      <c r="E29" s="43"/>
      <c r="F29" s="43"/>
    </row>
    <row r="30" spans="1:6" ht="22.5" x14ac:dyDescent="0.2">
      <c r="A30" s="44" t="s">
        <v>127</v>
      </c>
      <c r="B30" s="15">
        <f>(57758.23+20649.05+85891.52)-(57758.23+17643.08+72807.44)</f>
        <v>16090.049999999988</v>
      </c>
      <c r="C30" s="15">
        <f>57758.23+74039.92+99+6087.8+4538.4+20649.05-57758.23-70440.72-17056.21</f>
        <v>17917.239999999954</v>
      </c>
      <c r="D30" s="33" t="s">
        <v>152</v>
      </c>
      <c r="E30" s="11">
        <v>21551</v>
      </c>
      <c r="F30" s="11">
        <v>21551</v>
      </c>
    </row>
    <row r="31" spans="1:6" x14ac:dyDescent="0.2">
      <c r="A31" s="44" t="s">
        <v>128</v>
      </c>
      <c r="B31" s="15">
        <f>7108.89-5710.89</f>
        <v>1398</v>
      </c>
      <c r="C31" s="15">
        <f>5000-5000</f>
        <v>0</v>
      </c>
      <c r="D31" s="33" t="s">
        <v>153</v>
      </c>
      <c r="E31" s="11">
        <v>0</v>
      </c>
      <c r="F31" s="11">
        <v>0</v>
      </c>
    </row>
    <row r="32" spans="1:6" x14ac:dyDescent="0.2">
      <c r="A32" s="46" t="s">
        <v>129</v>
      </c>
      <c r="B32" s="10">
        <f>2847.97-284.8</f>
        <v>2563.1699999999996</v>
      </c>
      <c r="C32" s="10"/>
      <c r="D32" s="33" t="s">
        <v>154</v>
      </c>
      <c r="E32" s="11">
        <v>14232</v>
      </c>
      <c r="F32" s="11">
        <v>13000</v>
      </c>
    </row>
    <row r="33" spans="1:6" x14ac:dyDescent="0.2">
      <c r="A33" s="46" t="s">
        <v>131</v>
      </c>
      <c r="B33" s="10">
        <v>0</v>
      </c>
      <c r="C33" s="10">
        <v>0</v>
      </c>
      <c r="D33" s="33" t="s">
        <v>155</v>
      </c>
      <c r="E33" s="11">
        <f>1547.71+129645.33</f>
        <v>131193.04</v>
      </c>
      <c r="F33" s="11">
        <v>130873.27</v>
      </c>
    </row>
    <row r="34" spans="1:6" x14ac:dyDescent="0.2">
      <c r="A34" s="44" t="s">
        <v>132</v>
      </c>
      <c r="B34" s="15">
        <f>87854.63+11941.21-78227.15-10407.62</f>
        <v>11161.070000000002</v>
      </c>
      <c r="C34" s="15">
        <v>17554.060000000001</v>
      </c>
      <c r="D34" s="33" t="s">
        <v>156</v>
      </c>
      <c r="E34" s="11">
        <v>29949</v>
      </c>
      <c r="F34" s="11">
        <v>0</v>
      </c>
    </row>
    <row r="35" spans="1:6" ht="22.5" x14ac:dyDescent="0.2">
      <c r="A35" s="12" t="s">
        <v>9</v>
      </c>
      <c r="B35" s="15"/>
      <c r="C35" s="15"/>
      <c r="D35" s="33" t="s">
        <v>157</v>
      </c>
      <c r="E35" s="11">
        <v>22718.9</v>
      </c>
      <c r="F35" s="11">
        <v>12860.39</v>
      </c>
    </row>
    <row r="36" spans="1:6" ht="22.5" x14ac:dyDescent="0.2">
      <c r="A36" s="25" t="s">
        <v>10</v>
      </c>
      <c r="B36" s="14">
        <f>SUM(B39:B40)</f>
        <v>0</v>
      </c>
      <c r="C36" s="14">
        <f>SUM(C39:C40)</f>
        <v>0</v>
      </c>
      <c r="D36" s="33" t="s">
        <v>100</v>
      </c>
      <c r="E36" s="11">
        <v>82014.05</v>
      </c>
      <c r="F36" s="11">
        <v>89184.3</v>
      </c>
    </row>
    <row r="37" spans="1:6" ht="45" x14ac:dyDescent="0.2">
      <c r="A37" s="12" t="s">
        <v>25</v>
      </c>
      <c r="B37" s="10"/>
      <c r="C37" s="10"/>
      <c r="D37" s="34" t="s">
        <v>22</v>
      </c>
      <c r="E37" s="16">
        <f>SUM(E27:E36)</f>
        <v>321526.66000000003</v>
      </c>
      <c r="F37" s="16">
        <f>SUM(F27:F36)</f>
        <v>287431.64</v>
      </c>
    </row>
    <row r="38" spans="1:6" x14ac:dyDescent="0.2">
      <c r="A38" s="47" t="s">
        <v>133</v>
      </c>
      <c r="B38" s="10">
        <v>0</v>
      </c>
      <c r="C38" s="10">
        <v>0</v>
      </c>
      <c r="D38" s="10"/>
      <c r="E38" s="10"/>
      <c r="F38" s="11"/>
    </row>
    <row r="39" spans="1:6" ht="22.5" x14ac:dyDescent="0.2">
      <c r="A39" s="12" t="s">
        <v>134</v>
      </c>
      <c r="B39" s="10">
        <v>0</v>
      </c>
      <c r="C39" s="10">
        <v>0</v>
      </c>
      <c r="D39" s="17" t="s">
        <v>23</v>
      </c>
      <c r="E39" s="18"/>
      <c r="F39" s="18"/>
    </row>
    <row r="40" spans="1:6" x14ac:dyDescent="0.2">
      <c r="A40" s="26" t="s">
        <v>135</v>
      </c>
      <c r="B40" s="10">
        <v>0</v>
      </c>
      <c r="C40" s="10">
        <v>0</v>
      </c>
      <c r="D40" s="33"/>
      <c r="E40" s="11"/>
      <c r="F40" s="11"/>
    </row>
    <row r="41" spans="1:6" x14ac:dyDescent="0.2">
      <c r="A41" s="27" t="s">
        <v>12</v>
      </c>
      <c r="B41" s="19">
        <f>B15+B22+B36</f>
        <v>1366301.6199999999</v>
      </c>
      <c r="C41" s="19">
        <f>C15+C22+C36</f>
        <v>1285112.27</v>
      </c>
      <c r="D41" s="32" t="s">
        <v>24</v>
      </c>
      <c r="E41" s="11"/>
      <c r="F41" s="11"/>
    </row>
    <row r="42" spans="1:6" ht="33.75" x14ac:dyDescent="0.2">
      <c r="A42" s="25" t="s">
        <v>162</v>
      </c>
      <c r="B42" s="10"/>
      <c r="C42" s="10"/>
      <c r="D42" s="20" t="s">
        <v>26</v>
      </c>
      <c r="E42" s="11"/>
      <c r="F42" s="11"/>
    </row>
    <row r="43" spans="1:6" x14ac:dyDescent="0.2">
      <c r="A43" s="25" t="s">
        <v>29</v>
      </c>
      <c r="B43" s="10"/>
      <c r="C43" s="10"/>
      <c r="D43" s="33" t="s">
        <v>30</v>
      </c>
      <c r="E43" s="11"/>
      <c r="F43" s="11"/>
    </row>
    <row r="44" spans="1:6" ht="22.5" x14ac:dyDescent="0.2">
      <c r="A44" s="12" t="s">
        <v>27</v>
      </c>
      <c r="B44" s="10">
        <v>0</v>
      </c>
      <c r="C44" s="10">
        <v>0</v>
      </c>
      <c r="D44" s="33" t="s">
        <v>31</v>
      </c>
      <c r="E44" s="11"/>
      <c r="F44" s="11"/>
    </row>
    <row r="45" spans="1:6" ht="22.5" x14ac:dyDescent="0.2">
      <c r="A45" s="33" t="s">
        <v>137</v>
      </c>
      <c r="B45" s="10">
        <v>0</v>
      </c>
      <c r="C45" s="10">
        <v>0</v>
      </c>
      <c r="D45" s="33" t="s">
        <v>32</v>
      </c>
      <c r="E45" s="11"/>
      <c r="F45" s="11"/>
    </row>
    <row r="46" spans="1:6" x14ac:dyDescent="0.2">
      <c r="A46" s="33" t="s">
        <v>138</v>
      </c>
      <c r="B46" s="10">
        <v>0</v>
      </c>
      <c r="C46" s="10">
        <v>0</v>
      </c>
      <c r="D46" s="33" t="s">
        <v>33</v>
      </c>
      <c r="E46" s="11"/>
      <c r="F46" s="11"/>
    </row>
    <row r="47" spans="1:6" x14ac:dyDescent="0.2">
      <c r="A47" s="33" t="s">
        <v>139</v>
      </c>
      <c r="B47" s="10">
        <v>0</v>
      </c>
      <c r="C47" s="10">
        <v>0</v>
      </c>
      <c r="D47" s="33" t="s">
        <v>31</v>
      </c>
      <c r="E47" s="11">
        <v>0</v>
      </c>
      <c r="F47" s="11">
        <v>0</v>
      </c>
    </row>
    <row r="48" spans="1:6" x14ac:dyDescent="0.2">
      <c r="A48" s="12" t="s">
        <v>136</v>
      </c>
      <c r="B48" s="10"/>
      <c r="C48" s="10"/>
      <c r="D48" s="33" t="s">
        <v>32</v>
      </c>
      <c r="E48" s="11"/>
      <c r="F48" s="11"/>
    </row>
    <row r="49" spans="1:6" ht="22.5" x14ac:dyDescent="0.2">
      <c r="A49" s="12" t="s">
        <v>140</v>
      </c>
      <c r="B49" s="10">
        <v>0</v>
      </c>
      <c r="C49" s="10">
        <v>0</v>
      </c>
      <c r="D49" s="33" t="s">
        <v>158</v>
      </c>
      <c r="E49" s="11">
        <v>0</v>
      </c>
      <c r="F49" s="11">
        <v>0</v>
      </c>
    </row>
    <row r="50" spans="1:6" ht="12.75" customHeight="1" x14ac:dyDescent="0.2">
      <c r="A50" s="25" t="s">
        <v>28</v>
      </c>
      <c r="B50" s="14">
        <f>SUM(B53:B67)</f>
        <v>426820.7</v>
      </c>
      <c r="C50" s="14">
        <f>SUM(C53:C67)</f>
        <v>179211.13000000003</v>
      </c>
      <c r="D50" s="33" t="s">
        <v>34</v>
      </c>
      <c r="E50" s="11"/>
      <c r="F50" s="11"/>
    </row>
    <row r="51" spans="1:6" ht="22.5" x14ac:dyDescent="0.2">
      <c r="A51" s="12" t="s">
        <v>35</v>
      </c>
      <c r="B51" s="10"/>
      <c r="C51" s="10"/>
      <c r="D51" s="33" t="s">
        <v>31</v>
      </c>
      <c r="E51" s="11">
        <v>0</v>
      </c>
      <c r="F51" s="11">
        <v>0</v>
      </c>
    </row>
    <row r="52" spans="1:6" ht="22.5" x14ac:dyDescent="0.2">
      <c r="A52" s="12" t="s">
        <v>36</v>
      </c>
      <c r="B52" s="10"/>
      <c r="C52" s="10"/>
      <c r="D52" s="33" t="s">
        <v>32</v>
      </c>
      <c r="E52" s="11"/>
      <c r="F52" s="11"/>
    </row>
    <row r="53" spans="1:6" x14ac:dyDescent="0.2">
      <c r="A53" s="12" t="s">
        <v>38</v>
      </c>
      <c r="B53" s="10"/>
      <c r="C53" s="10"/>
      <c r="D53" s="33" t="s">
        <v>37</v>
      </c>
      <c r="E53" s="11"/>
      <c r="F53" s="11"/>
    </row>
    <row r="54" spans="1:6" x14ac:dyDescent="0.2">
      <c r="A54" s="12" t="s">
        <v>31</v>
      </c>
      <c r="B54" s="10">
        <v>72770.880000000005</v>
      </c>
      <c r="C54" s="10">
        <v>110131.91</v>
      </c>
      <c r="D54" s="33" t="s">
        <v>31</v>
      </c>
      <c r="E54" s="11">
        <v>56995.360000000001</v>
      </c>
      <c r="F54" s="11">
        <v>82891.039999999994</v>
      </c>
    </row>
    <row r="55" spans="1:6" x14ac:dyDescent="0.2">
      <c r="A55" s="12" t="s">
        <v>32</v>
      </c>
      <c r="B55" s="10">
        <v>0</v>
      </c>
      <c r="C55" s="10">
        <v>0</v>
      </c>
      <c r="D55" s="33" t="s">
        <v>32</v>
      </c>
      <c r="E55" s="11">
        <v>0</v>
      </c>
      <c r="F55" s="11">
        <v>0</v>
      </c>
    </row>
    <row r="56" spans="1:6" x14ac:dyDescent="0.2">
      <c r="A56" s="12" t="s">
        <v>39</v>
      </c>
      <c r="B56" s="10"/>
      <c r="C56" s="10"/>
      <c r="D56" s="33" t="s">
        <v>40</v>
      </c>
      <c r="E56" s="11"/>
      <c r="F56" s="11"/>
    </row>
    <row r="57" spans="1:6" x14ac:dyDescent="0.2">
      <c r="A57" s="12" t="s">
        <v>31</v>
      </c>
      <c r="B57" s="10">
        <v>279177.21000000002</v>
      </c>
      <c r="C57" s="10">
        <v>0</v>
      </c>
      <c r="D57" s="33" t="s">
        <v>31</v>
      </c>
      <c r="E57" s="11">
        <v>7687.42</v>
      </c>
      <c r="F57" s="11">
        <v>9431.61</v>
      </c>
    </row>
    <row r="58" spans="1:6" x14ac:dyDescent="0.2">
      <c r="A58" s="12" t="s">
        <v>32</v>
      </c>
      <c r="B58" s="10">
        <v>427.48</v>
      </c>
      <c r="C58" s="10">
        <v>0</v>
      </c>
      <c r="D58" s="33" t="s">
        <v>32</v>
      </c>
      <c r="E58" s="11"/>
      <c r="F58" s="11"/>
    </row>
    <row r="59" spans="1:6" ht="22.5" x14ac:dyDescent="0.2">
      <c r="A59" s="12" t="s">
        <v>41</v>
      </c>
      <c r="B59" s="10"/>
      <c r="C59" s="10"/>
      <c r="D59" s="33" t="s">
        <v>169</v>
      </c>
      <c r="E59" s="11"/>
      <c r="F59" s="11"/>
    </row>
    <row r="60" spans="1:6" x14ac:dyDescent="0.2">
      <c r="A60" s="12" t="s">
        <v>96</v>
      </c>
      <c r="B60" s="10">
        <f>23117.26-1303.86+50695.04-40107.56-5000-427.48</f>
        <v>26973.400000000005</v>
      </c>
      <c r="C60" s="10">
        <f>11674.71+2896.64+1000.04+5160+5349.15</f>
        <v>26080.54</v>
      </c>
      <c r="D60" s="33" t="s">
        <v>31</v>
      </c>
      <c r="E60" s="11">
        <f>574.46+580.44+140.63</f>
        <v>1295.5300000000002</v>
      </c>
      <c r="F60" s="11">
        <v>4169.28</v>
      </c>
    </row>
    <row r="61" spans="1:6" x14ac:dyDescent="0.2">
      <c r="A61" s="12" t="s">
        <v>32</v>
      </c>
      <c r="B61" s="10">
        <f>40107.56-7454.94</f>
        <v>32652.62</v>
      </c>
      <c r="C61" s="10">
        <f>38685.9-3983.55-5349.15</f>
        <v>29353.199999999997</v>
      </c>
      <c r="D61" s="33" t="s">
        <v>32</v>
      </c>
      <c r="E61" s="11"/>
      <c r="F61" s="11"/>
    </row>
    <row r="62" spans="1:6" ht="22.5" x14ac:dyDescent="0.2">
      <c r="A62" s="12" t="s">
        <v>42</v>
      </c>
      <c r="B62" s="10"/>
      <c r="C62" s="10"/>
      <c r="D62" s="33" t="s">
        <v>160</v>
      </c>
      <c r="E62" s="11">
        <v>0</v>
      </c>
      <c r="F62" s="11">
        <v>0</v>
      </c>
    </row>
    <row r="63" spans="1:6" x14ac:dyDescent="0.2">
      <c r="A63" s="12" t="s">
        <v>31</v>
      </c>
      <c r="B63" s="10">
        <f>8404+1415.11</f>
        <v>9819.11</v>
      </c>
      <c r="C63" s="10">
        <f>1721+6497</f>
        <v>8218</v>
      </c>
      <c r="D63" s="33" t="s">
        <v>161</v>
      </c>
      <c r="E63" s="11"/>
      <c r="F63" s="11"/>
    </row>
    <row r="64" spans="1:6" x14ac:dyDescent="0.2">
      <c r="A64" s="12" t="s">
        <v>32</v>
      </c>
      <c r="B64" s="10">
        <v>0</v>
      </c>
      <c r="C64" s="10">
        <v>0</v>
      </c>
      <c r="D64" s="33" t="s">
        <v>159</v>
      </c>
      <c r="E64" s="11"/>
      <c r="F64" s="11"/>
    </row>
    <row r="65" spans="1:6" x14ac:dyDescent="0.2">
      <c r="A65" s="12" t="s">
        <v>43</v>
      </c>
      <c r="B65" s="10"/>
      <c r="C65" s="10"/>
      <c r="D65" s="33" t="s">
        <v>31</v>
      </c>
      <c r="E65" s="11">
        <f>11680.14+2439.17+985.23-580.44-140.63-1303.86</f>
        <v>13079.609999999999</v>
      </c>
      <c r="F65" s="11">
        <v>24222.13</v>
      </c>
    </row>
    <row r="66" spans="1:6" x14ac:dyDescent="0.2">
      <c r="A66" s="12" t="s">
        <v>31</v>
      </c>
      <c r="B66" s="10">
        <v>5000</v>
      </c>
      <c r="C66" s="10">
        <v>5000</v>
      </c>
      <c r="D66" s="33" t="s">
        <v>32</v>
      </c>
      <c r="E66" s="11"/>
      <c r="F66" s="11"/>
    </row>
    <row r="67" spans="1:6" x14ac:dyDescent="0.2">
      <c r="A67" s="12" t="s">
        <v>32</v>
      </c>
      <c r="B67" s="10">
        <v>0</v>
      </c>
      <c r="C67" s="10">
        <f>427.48</f>
        <v>427.48</v>
      </c>
      <c r="D67" s="34" t="s">
        <v>46</v>
      </c>
      <c r="E67" s="16">
        <f>SUM(E43:E66)</f>
        <v>79057.919999999998</v>
      </c>
      <c r="F67" s="16">
        <f>SUM(F43:F66)</f>
        <v>120714.06</v>
      </c>
    </row>
    <row r="68" spans="1:6" ht="22.5" x14ac:dyDescent="0.2">
      <c r="A68" s="25" t="s">
        <v>141</v>
      </c>
      <c r="B68" s="10"/>
      <c r="C68" s="10"/>
      <c r="E68" s="11"/>
      <c r="F68" s="11"/>
    </row>
    <row r="69" spans="1:6" x14ac:dyDescent="0.2">
      <c r="A69" s="12" t="s">
        <v>133</v>
      </c>
      <c r="B69" s="10">
        <v>0</v>
      </c>
      <c r="C69" s="10">
        <v>0</v>
      </c>
      <c r="E69" s="11"/>
      <c r="F69" s="11"/>
    </row>
    <row r="70" spans="1:6" x14ac:dyDescent="0.2">
      <c r="A70" s="33" t="s">
        <v>142</v>
      </c>
      <c r="B70" s="10">
        <v>0</v>
      </c>
      <c r="C70" s="10">
        <v>0</v>
      </c>
      <c r="E70" s="11"/>
      <c r="F70" s="11"/>
    </row>
    <row r="71" spans="1:6" x14ac:dyDescent="0.2">
      <c r="A71" s="25" t="s">
        <v>44</v>
      </c>
      <c r="B71" s="14">
        <f>SUM(B72:B75)</f>
        <v>433011.02</v>
      </c>
      <c r="C71" s="14">
        <f>SUM(C72:C75)</f>
        <v>695655.91999999993</v>
      </c>
      <c r="E71" s="11"/>
      <c r="F71" s="11"/>
    </row>
    <row r="72" spans="1:6" x14ac:dyDescent="0.2">
      <c r="A72" s="33" t="s">
        <v>143</v>
      </c>
      <c r="B72" s="10">
        <v>430375.7</v>
      </c>
      <c r="C72" s="10">
        <v>689043.94</v>
      </c>
      <c r="D72" s="33"/>
      <c r="E72" s="11"/>
      <c r="F72" s="11"/>
    </row>
    <row r="73" spans="1:6" x14ac:dyDescent="0.2">
      <c r="A73" s="12" t="s">
        <v>144</v>
      </c>
      <c r="B73" s="10">
        <v>1987.2</v>
      </c>
      <c r="C73" s="10">
        <v>5318.2</v>
      </c>
      <c r="D73" s="33"/>
      <c r="E73" s="11"/>
      <c r="F73" s="11"/>
    </row>
    <row r="74" spans="1:6" ht="33.75" x14ac:dyDescent="0.2">
      <c r="A74" s="12" t="s">
        <v>145</v>
      </c>
      <c r="B74" s="10">
        <v>0</v>
      </c>
      <c r="C74" s="10">
        <v>0</v>
      </c>
      <c r="D74" s="33"/>
      <c r="E74" s="11"/>
      <c r="F74" s="11"/>
    </row>
    <row r="75" spans="1:6" x14ac:dyDescent="0.2">
      <c r="A75" s="12" t="s">
        <v>146</v>
      </c>
      <c r="B75" s="10">
        <v>648.12</v>
      </c>
      <c r="C75" s="10">
        <v>1293.78</v>
      </c>
      <c r="D75" s="33"/>
      <c r="E75" s="11"/>
      <c r="F75" s="11"/>
    </row>
    <row r="76" spans="1:6" x14ac:dyDescent="0.2">
      <c r="A76" s="27" t="s">
        <v>45</v>
      </c>
      <c r="B76" s="19">
        <f>B43+B50+B68+B71</f>
        <v>859831.72</v>
      </c>
      <c r="C76" s="19">
        <f>C43+C50+C68+C71</f>
        <v>874867.04999999993</v>
      </c>
      <c r="D76" s="12"/>
      <c r="E76" s="11"/>
      <c r="F76" s="11"/>
    </row>
    <row r="77" spans="1:6" x14ac:dyDescent="0.2">
      <c r="A77" s="12"/>
      <c r="B77" s="10"/>
      <c r="C77" s="10"/>
      <c r="E77" s="11"/>
      <c r="F77" s="11"/>
    </row>
    <row r="78" spans="1:6" x14ac:dyDescent="0.2">
      <c r="A78" s="28" t="s">
        <v>163</v>
      </c>
      <c r="B78" s="14"/>
      <c r="C78" s="14"/>
      <c r="D78" s="28" t="s">
        <v>47</v>
      </c>
      <c r="E78" s="13"/>
      <c r="F78" s="13"/>
    </row>
    <row r="79" spans="1:6" x14ac:dyDescent="0.2">
      <c r="A79" s="29" t="s">
        <v>52</v>
      </c>
      <c r="B79" s="10">
        <v>0</v>
      </c>
      <c r="C79" s="10">
        <v>0</v>
      </c>
      <c r="D79" s="29" t="s">
        <v>54</v>
      </c>
      <c r="E79" s="11">
        <v>2308.5500000000002</v>
      </c>
      <c r="F79" s="11">
        <v>2684.03</v>
      </c>
    </row>
    <row r="80" spans="1:6" x14ac:dyDescent="0.2">
      <c r="A80" s="29" t="s">
        <v>53</v>
      </c>
      <c r="B80" s="10">
        <v>8411.74</v>
      </c>
      <c r="C80" s="10">
        <v>8821.42</v>
      </c>
      <c r="D80" s="29" t="s">
        <v>55</v>
      </c>
      <c r="E80" s="11">
        <f>94049.79+1084377.74</f>
        <v>1178427.53</v>
      </c>
      <c r="F80" s="11">
        <v>1105957.29</v>
      </c>
    </row>
    <row r="81" spans="1:6" x14ac:dyDescent="0.2">
      <c r="A81" s="30" t="s">
        <v>51</v>
      </c>
      <c r="B81" s="21">
        <f>SUM(B79:B80)</f>
        <v>8411.74</v>
      </c>
      <c r="C81" s="21">
        <f>SUM(C79:C80)</f>
        <v>8821.42</v>
      </c>
      <c r="D81" s="30" t="s">
        <v>50</v>
      </c>
      <c r="E81" s="22">
        <f>SUM(E79:E80)</f>
        <v>1180736.08</v>
      </c>
      <c r="F81" s="22">
        <f>SUM(F79:F80)</f>
        <v>1108641.32</v>
      </c>
    </row>
    <row r="82" spans="1:6" x14ac:dyDescent="0.2">
      <c r="D82" s="25"/>
      <c r="E82" s="11"/>
      <c r="F82" s="11"/>
    </row>
    <row r="83" spans="1:6" x14ac:dyDescent="0.2">
      <c r="A83" s="30" t="s">
        <v>48</v>
      </c>
      <c r="B83" s="21">
        <f>B41+B76+B81</f>
        <v>2234545.08</v>
      </c>
      <c r="C83" s="21">
        <f>C41+C76+C81</f>
        <v>2168800.7399999998</v>
      </c>
      <c r="D83" s="34" t="s">
        <v>49</v>
      </c>
      <c r="E83" s="16">
        <f>E23+E37+E39+E67+E81</f>
        <v>2234545.08</v>
      </c>
      <c r="F83" s="16">
        <f>F23+F37+F39+F67+F81</f>
        <v>2168800.7400000002</v>
      </c>
    </row>
    <row r="84" spans="1:6" x14ac:dyDescent="0.2">
      <c r="A84" s="4"/>
      <c r="B84" s="3"/>
      <c r="C84" s="3"/>
      <c r="D84" s="4"/>
    </row>
    <row r="85" spans="1:6" x14ac:dyDescent="0.2">
      <c r="A85" s="4"/>
      <c r="B85" s="3"/>
      <c r="C85" s="3"/>
      <c r="D85" s="4"/>
    </row>
    <row r="86" spans="1:6" x14ac:dyDescent="0.2">
      <c r="A86" s="4"/>
      <c r="B86" s="3"/>
      <c r="C86" s="3"/>
      <c r="D86" s="4"/>
    </row>
    <row r="87" spans="1:6" x14ac:dyDescent="0.2">
      <c r="A87" s="4"/>
      <c r="B87" s="3"/>
      <c r="C87" s="3"/>
      <c r="D87" s="4"/>
    </row>
    <row r="88" spans="1:6" x14ac:dyDescent="0.2">
      <c r="A88" s="4"/>
      <c r="B88" s="3"/>
      <c r="C88" s="3"/>
      <c r="D88" s="4"/>
    </row>
    <row r="89" spans="1:6" x14ac:dyDescent="0.2">
      <c r="A89" s="4"/>
      <c r="B89" s="3"/>
      <c r="C89" s="3"/>
      <c r="D89" s="4"/>
    </row>
    <row r="90" spans="1:6" x14ac:dyDescent="0.2">
      <c r="A90" s="4"/>
      <c r="B90" s="3"/>
      <c r="C90" s="3"/>
      <c r="D90" s="4"/>
    </row>
    <row r="91" spans="1:6" x14ac:dyDescent="0.2">
      <c r="A91" s="4"/>
      <c r="B91" s="3"/>
      <c r="C91" s="3"/>
      <c r="D91" s="4"/>
    </row>
    <row r="92" spans="1:6" x14ac:dyDescent="0.2">
      <c r="A92" s="4"/>
      <c r="B92" s="3"/>
      <c r="C92" s="3"/>
      <c r="D92" s="4"/>
    </row>
    <row r="93" spans="1:6" x14ac:dyDescent="0.2">
      <c r="A93" s="4"/>
      <c r="B93" s="3"/>
      <c r="C93" s="3"/>
      <c r="D93" s="4"/>
    </row>
    <row r="94" spans="1:6" x14ac:dyDescent="0.2">
      <c r="A94" s="4"/>
      <c r="B94" s="3"/>
      <c r="C94" s="3"/>
      <c r="D94" s="4"/>
    </row>
    <row r="95" spans="1:6" x14ac:dyDescent="0.2">
      <c r="A95" s="4"/>
      <c r="B95" s="3"/>
      <c r="C95" s="3"/>
      <c r="D95" s="4"/>
    </row>
    <row r="96" spans="1:6" x14ac:dyDescent="0.2">
      <c r="A96" s="4"/>
      <c r="B96" s="3"/>
      <c r="C96" s="3"/>
      <c r="D96" s="4"/>
    </row>
    <row r="97" spans="3:4" x14ac:dyDescent="0.2">
      <c r="C97" s="3"/>
      <c r="D97" s="4"/>
    </row>
    <row r="98" spans="3:4" x14ac:dyDescent="0.2">
      <c r="C98" s="3"/>
      <c r="D98" s="4"/>
    </row>
    <row r="99" spans="3:4" x14ac:dyDescent="0.2">
      <c r="C99" s="3"/>
      <c r="D99" s="4"/>
    </row>
    <row r="100" spans="3:4" x14ac:dyDescent="0.2">
      <c r="C100" s="3"/>
      <c r="D100" s="4"/>
    </row>
    <row r="101" spans="3:4" x14ac:dyDescent="0.2">
      <c r="C101" s="3"/>
      <c r="D101" s="4"/>
    </row>
    <row r="102" spans="3:4" x14ac:dyDescent="0.2">
      <c r="C102" s="3"/>
    </row>
    <row r="103" spans="3:4" x14ac:dyDescent="0.2">
      <c r="C103" s="3"/>
    </row>
    <row r="104" spans="3:4" x14ac:dyDescent="0.2">
      <c r="C104" s="3"/>
    </row>
    <row r="105" spans="3:4" x14ac:dyDescent="0.2">
      <c r="C105" s="3"/>
    </row>
    <row r="106" spans="3:4" x14ac:dyDescent="0.2">
      <c r="C106" s="3"/>
    </row>
    <row r="107" spans="3:4" x14ac:dyDescent="0.2">
      <c r="C107" s="3"/>
    </row>
    <row r="108" spans="3:4" x14ac:dyDescent="0.2">
      <c r="C108" s="3"/>
    </row>
    <row r="109" spans="3:4" x14ac:dyDescent="0.2">
      <c r="C109" s="3"/>
    </row>
    <row r="110" spans="3:4" x14ac:dyDescent="0.2">
      <c r="C110" s="3"/>
    </row>
    <row r="111" spans="3:4" x14ac:dyDescent="0.2">
      <c r="C111" s="3"/>
    </row>
    <row r="112" spans="3:4" x14ac:dyDescent="0.2">
      <c r="C112" s="3"/>
    </row>
  </sheetData>
  <mergeCells count="6">
    <mergeCell ref="A9:F10"/>
    <mergeCell ref="A1:F1"/>
    <mergeCell ref="A3:F3"/>
    <mergeCell ref="A2:F2"/>
    <mergeCell ref="A6:F6"/>
    <mergeCell ref="A7:F7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5"/>
  <sheetViews>
    <sheetView tabSelected="1" zoomScale="120" zoomScaleNormal="120" workbookViewId="0">
      <selection activeCell="B84" sqref="B84"/>
    </sheetView>
  </sheetViews>
  <sheetFormatPr defaultRowHeight="15" customHeight="1" x14ac:dyDescent="0.2"/>
  <cols>
    <col min="1" max="1" width="60.140625" style="3" customWidth="1"/>
    <col min="2" max="3" width="20.7109375" style="3" customWidth="1"/>
    <col min="4" max="16384" width="9.140625" style="3"/>
  </cols>
  <sheetData>
    <row r="1" spans="1:7" ht="15" customHeight="1" x14ac:dyDescent="0.2">
      <c r="A1" s="56" t="s">
        <v>57</v>
      </c>
      <c r="B1" s="56"/>
      <c r="C1" s="56"/>
      <c r="D1" s="7"/>
      <c r="E1" s="7"/>
      <c r="F1" s="7"/>
      <c r="G1" s="7"/>
    </row>
    <row r="2" spans="1:7" ht="15" customHeight="1" x14ac:dyDescent="0.2">
      <c r="A2" s="57" t="s">
        <v>166</v>
      </c>
      <c r="B2" s="57"/>
      <c r="C2" s="57"/>
      <c r="D2" s="7"/>
      <c r="E2" s="7"/>
      <c r="F2" s="7"/>
      <c r="G2" s="7"/>
    </row>
    <row r="3" spans="1:7" ht="15" customHeight="1" x14ac:dyDescent="0.2">
      <c r="A3" s="57" t="s">
        <v>56</v>
      </c>
      <c r="B3" s="57"/>
      <c r="C3" s="57"/>
      <c r="D3" s="7"/>
      <c r="E3" s="7"/>
      <c r="F3" s="7"/>
      <c r="G3" s="7"/>
    </row>
    <row r="4" spans="1:7" ht="15" customHeight="1" x14ac:dyDescent="0.2">
      <c r="A4" s="49"/>
      <c r="B4" s="49"/>
      <c r="C4" s="49"/>
      <c r="D4" s="7"/>
      <c r="E4" s="7"/>
      <c r="F4" s="7"/>
      <c r="G4" s="7"/>
    </row>
    <row r="5" spans="1:7" ht="15" customHeight="1" x14ac:dyDescent="0.2">
      <c r="D5" s="7"/>
      <c r="E5" s="7"/>
      <c r="F5" s="7"/>
      <c r="G5" s="7"/>
    </row>
    <row r="6" spans="1:7" ht="15" customHeight="1" x14ac:dyDescent="0.2">
      <c r="A6" s="58" t="s">
        <v>170</v>
      </c>
      <c r="B6" s="58"/>
      <c r="C6" s="58"/>
      <c r="D6" s="7"/>
      <c r="E6" s="7"/>
      <c r="F6" s="7"/>
      <c r="G6" s="7"/>
    </row>
    <row r="7" spans="1:7" ht="15" customHeight="1" x14ac:dyDescent="0.2">
      <c r="A7" s="60" t="s">
        <v>98</v>
      </c>
      <c r="B7" s="60"/>
      <c r="C7" s="60"/>
      <c r="D7" s="7"/>
      <c r="E7" s="7"/>
      <c r="F7" s="7"/>
      <c r="G7" s="7"/>
    </row>
    <row r="8" spans="1:7" ht="15" customHeight="1" x14ac:dyDescent="0.2">
      <c r="D8" s="7"/>
      <c r="E8" s="7"/>
      <c r="F8" s="7"/>
      <c r="G8" s="7"/>
    </row>
    <row r="9" spans="1:7" ht="30" customHeight="1" x14ac:dyDescent="0.2">
      <c r="A9" s="59" t="s">
        <v>167</v>
      </c>
      <c r="B9" s="59"/>
      <c r="C9" s="59"/>
      <c r="D9" s="7"/>
      <c r="E9" s="7"/>
      <c r="F9" s="7"/>
      <c r="G9" s="7"/>
    </row>
    <row r="10" spans="1:7" ht="15" customHeight="1" x14ac:dyDescent="0.2">
      <c r="A10" s="31"/>
      <c r="B10" s="35">
        <v>44196</v>
      </c>
      <c r="C10" s="35">
        <v>43830</v>
      </c>
      <c r="D10" s="7"/>
      <c r="E10" s="7"/>
      <c r="F10" s="7"/>
      <c r="G10" s="7"/>
    </row>
    <row r="11" spans="1:7" ht="15" customHeight="1" x14ac:dyDescent="0.2">
      <c r="A11" s="36" t="s">
        <v>58</v>
      </c>
      <c r="B11" s="51"/>
      <c r="C11" s="51"/>
      <c r="D11" s="7"/>
      <c r="E11" s="7"/>
      <c r="F11" s="7"/>
      <c r="G11" s="7"/>
    </row>
    <row r="12" spans="1:7" ht="15" customHeight="1" x14ac:dyDescent="0.2">
      <c r="A12" s="38" t="s">
        <v>59</v>
      </c>
      <c r="B12" s="52">
        <f>SUM(B13:B18)</f>
        <v>1841964.4699999997</v>
      </c>
      <c r="C12" s="52">
        <f>SUM(C13:C18)</f>
        <v>1888082.37</v>
      </c>
      <c r="D12" s="7"/>
      <c r="E12" s="7"/>
      <c r="F12" s="7"/>
      <c r="G12" s="7"/>
    </row>
    <row r="13" spans="1:7" ht="15" customHeight="1" x14ac:dyDescent="0.2">
      <c r="A13" s="26" t="s">
        <v>102</v>
      </c>
      <c r="B13" s="51">
        <v>0</v>
      </c>
      <c r="C13" s="51">
        <v>0</v>
      </c>
      <c r="D13" s="7"/>
      <c r="E13" s="7"/>
      <c r="F13" s="7"/>
      <c r="G13" s="7"/>
    </row>
    <row r="14" spans="1:7" ht="15" customHeight="1" x14ac:dyDescent="0.2">
      <c r="A14" s="26" t="s">
        <v>103</v>
      </c>
      <c r="B14" s="51">
        <v>1154000</v>
      </c>
      <c r="C14" s="51">
        <v>1154000</v>
      </c>
      <c r="D14" s="7"/>
      <c r="E14" s="7"/>
      <c r="F14" s="7"/>
      <c r="G14" s="7"/>
    </row>
    <row r="15" spans="1:7" ht="15" customHeight="1" x14ac:dyDescent="0.2">
      <c r="A15" s="26" t="s">
        <v>104</v>
      </c>
      <c r="B15" s="51">
        <f>11360+4036.98+2475.72</f>
        <v>17872.7</v>
      </c>
      <c r="C15" s="51">
        <f>43446.16+5465</f>
        <v>48911.16</v>
      </c>
      <c r="D15" s="7"/>
      <c r="E15" s="7"/>
      <c r="F15" s="7"/>
      <c r="G15" s="7"/>
    </row>
    <row r="16" spans="1:7" ht="15" customHeight="1" x14ac:dyDescent="0.2">
      <c r="A16" s="26" t="s">
        <v>105</v>
      </c>
      <c r="B16" s="51">
        <v>0</v>
      </c>
      <c r="C16" s="51">
        <v>0</v>
      </c>
      <c r="D16" s="7"/>
      <c r="E16" s="7"/>
      <c r="F16" s="7"/>
      <c r="G16" s="7"/>
    </row>
    <row r="17" spans="1:7" ht="15" customHeight="1" x14ac:dyDescent="0.2">
      <c r="A17" s="26" t="s">
        <v>106</v>
      </c>
      <c r="B17" s="51">
        <v>271260.90999999997</v>
      </c>
      <c r="C17" s="51">
        <f>211756.13-5465</f>
        <v>206291.13</v>
      </c>
      <c r="D17" s="7"/>
      <c r="E17" s="7"/>
      <c r="F17" s="7"/>
      <c r="G17" s="7"/>
    </row>
    <row r="18" spans="1:7" ht="15" customHeight="1" x14ac:dyDescent="0.2">
      <c r="A18" s="26" t="s">
        <v>107</v>
      </c>
      <c r="B18" s="51">
        <v>398830.86</v>
      </c>
      <c r="C18" s="51">
        <f>499880.08+102.23-21000-102.23</f>
        <v>478880.08</v>
      </c>
      <c r="D18" s="7"/>
      <c r="E18" s="7"/>
      <c r="F18" s="7"/>
      <c r="G18" s="7"/>
    </row>
    <row r="19" spans="1:7" ht="15" customHeight="1" x14ac:dyDescent="0.2">
      <c r="A19" s="36" t="s">
        <v>60</v>
      </c>
      <c r="B19" s="53">
        <v>0</v>
      </c>
      <c r="C19" s="53">
        <v>0</v>
      </c>
      <c r="D19" s="7"/>
      <c r="E19" s="7"/>
      <c r="F19" s="7"/>
      <c r="G19" s="7"/>
    </row>
    <row r="20" spans="1:7" ht="15" customHeight="1" x14ac:dyDescent="0.2">
      <c r="A20" s="36" t="s">
        <v>61</v>
      </c>
      <c r="B20" s="53">
        <v>0</v>
      </c>
      <c r="C20" s="53">
        <v>0</v>
      </c>
      <c r="D20" s="7"/>
      <c r="E20" s="7"/>
      <c r="F20" s="7"/>
      <c r="G20" s="7"/>
    </row>
    <row r="21" spans="1:7" ht="15" customHeight="1" x14ac:dyDescent="0.2">
      <c r="A21" s="36" t="s">
        <v>62</v>
      </c>
      <c r="B21" s="53">
        <v>0</v>
      </c>
      <c r="C21" s="53">
        <v>0</v>
      </c>
      <c r="D21" s="7"/>
      <c r="E21" s="7"/>
      <c r="F21" s="7"/>
      <c r="G21" s="7"/>
    </row>
    <row r="22" spans="1:7" ht="15" customHeight="1" x14ac:dyDescent="0.2">
      <c r="A22" s="36" t="s">
        <v>108</v>
      </c>
      <c r="B22" s="53">
        <f>SUM(B23:B24)</f>
        <v>128105.63</v>
      </c>
      <c r="C22" s="53">
        <f>SUM(C23:C24)</f>
        <v>128192.29</v>
      </c>
      <c r="D22" s="7"/>
      <c r="E22" s="7"/>
      <c r="F22" s="7"/>
      <c r="G22" s="7"/>
    </row>
    <row r="23" spans="1:7" ht="15" customHeight="1" x14ac:dyDescent="0.2">
      <c r="A23" s="26" t="s">
        <v>109</v>
      </c>
      <c r="B23" s="51">
        <f>32237.33+1807+1000+33887.99+77</f>
        <v>69009.320000000007</v>
      </c>
      <c r="C23" s="51">
        <f>762.06+21000+102.23+459.06+2435.24+20000+29408</f>
        <v>74166.59</v>
      </c>
      <c r="D23" s="7"/>
      <c r="E23" s="7"/>
      <c r="F23" s="7"/>
      <c r="G23" s="7"/>
    </row>
    <row r="24" spans="1:7" ht="15" customHeight="1" x14ac:dyDescent="0.2">
      <c r="A24" s="26" t="s">
        <v>110</v>
      </c>
      <c r="B24" s="51">
        <v>59096.31</v>
      </c>
      <c r="C24" s="51">
        <v>54025.7</v>
      </c>
      <c r="D24" s="7"/>
      <c r="E24" s="7"/>
      <c r="F24" s="7"/>
      <c r="G24" s="7"/>
    </row>
    <row r="25" spans="1:7" ht="15" customHeight="1" x14ac:dyDescent="0.2">
      <c r="A25" s="36" t="s">
        <v>63</v>
      </c>
      <c r="B25" s="53">
        <f>B12+B19+B20+B21+B22</f>
        <v>1970070.0999999996</v>
      </c>
      <c r="C25" s="53">
        <f>C12+C19+C20+C21+C22</f>
        <v>2016274.6600000001</v>
      </c>
      <c r="D25" s="7"/>
      <c r="E25" s="7"/>
      <c r="F25" s="7"/>
      <c r="G25" s="7"/>
    </row>
    <row r="26" spans="1:7" ht="15" customHeight="1" x14ac:dyDescent="0.2">
      <c r="A26" s="36" t="s">
        <v>95</v>
      </c>
      <c r="B26" s="53"/>
      <c r="C26" s="53"/>
      <c r="D26" s="7"/>
      <c r="E26" s="7"/>
      <c r="F26" s="7"/>
      <c r="G26" s="7"/>
    </row>
    <row r="27" spans="1:7" ht="15" customHeight="1" x14ac:dyDescent="0.2">
      <c r="A27" s="36" t="s">
        <v>64</v>
      </c>
      <c r="B27" s="52">
        <v>28036</v>
      </c>
      <c r="C27" s="52">
        <v>55306.85</v>
      </c>
      <c r="D27" s="7"/>
      <c r="E27" s="7"/>
      <c r="F27" s="7"/>
      <c r="G27" s="7"/>
    </row>
    <row r="28" spans="1:7" ht="15" customHeight="1" x14ac:dyDescent="0.2">
      <c r="A28" s="36" t="s">
        <v>65</v>
      </c>
      <c r="B28" s="53">
        <f>B29+B30</f>
        <v>597233.37</v>
      </c>
      <c r="C28" s="53">
        <f>C29+C30</f>
        <v>748185.83000000007</v>
      </c>
      <c r="D28" s="7"/>
      <c r="E28" s="7"/>
      <c r="F28" s="7"/>
      <c r="G28" s="7"/>
    </row>
    <row r="29" spans="1:7" ht="15" customHeight="1" x14ac:dyDescent="0.2">
      <c r="A29" s="26" t="s">
        <v>66</v>
      </c>
      <c r="B29" s="51">
        <f>70555.43+4165.21+2939.01+14232+584.36</f>
        <v>92476.01</v>
      </c>
      <c r="C29" s="51">
        <f>102816.11+702.65</f>
        <v>103518.76</v>
      </c>
      <c r="D29" s="7"/>
      <c r="E29" s="7"/>
      <c r="F29" s="7"/>
      <c r="G29" s="7"/>
    </row>
    <row r="30" spans="1:7" ht="15" customHeight="1" x14ac:dyDescent="0.2">
      <c r="A30" s="26" t="s">
        <v>67</v>
      </c>
      <c r="B30" s="54">
        <f>183369.66+316663.72+3078.24+1645.74</f>
        <v>504757.36</v>
      </c>
      <c r="C30" s="54">
        <f>272243.51+369239.76+3183.8</f>
        <v>644667.07000000007</v>
      </c>
      <c r="D30" s="7"/>
      <c r="E30" s="7"/>
      <c r="F30" s="7"/>
      <c r="G30" s="7"/>
    </row>
    <row r="31" spans="1:7" ht="15" customHeight="1" x14ac:dyDescent="0.2">
      <c r="A31" s="36" t="s">
        <v>68</v>
      </c>
      <c r="B31" s="53">
        <v>74540.52</v>
      </c>
      <c r="C31" s="53">
        <v>77895.259999999995</v>
      </c>
      <c r="D31" s="7"/>
      <c r="E31" s="7"/>
      <c r="F31" s="7"/>
      <c r="G31" s="7"/>
    </row>
    <row r="32" spans="1:7" ht="15" customHeight="1" x14ac:dyDescent="0.2">
      <c r="A32" s="36" t="s">
        <v>69</v>
      </c>
      <c r="B32" s="53">
        <f>SUM(B33:B37)</f>
        <v>979027.52000000014</v>
      </c>
      <c r="C32" s="53">
        <f>SUM(C33:C37)</f>
        <v>929654.65999999992</v>
      </c>
      <c r="D32" s="7"/>
      <c r="E32" s="7"/>
      <c r="F32" s="7"/>
      <c r="G32" s="7"/>
    </row>
    <row r="33" spans="1:7" ht="15" customHeight="1" x14ac:dyDescent="0.2">
      <c r="A33" s="26" t="s">
        <v>70</v>
      </c>
      <c r="B33" s="51">
        <f>749491.26</f>
        <v>749491.26</v>
      </c>
      <c r="C33" s="51">
        <v>729175.44</v>
      </c>
      <c r="D33" s="7"/>
      <c r="E33" s="7"/>
      <c r="F33" s="7"/>
      <c r="G33" s="7"/>
    </row>
    <row r="34" spans="1:7" ht="15" customHeight="1" x14ac:dyDescent="0.2">
      <c r="A34" s="26" t="s">
        <v>71</v>
      </c>
      <c r="B34" s="51">
        <f>207883.31-3078.24-1645.74</f>
        <v>203159.33000000002</v>
      </c>
      <c r="C34" s="51">
        <f>203663.02-3183.8</f>
        <v>200479.22</v>
      </c>
      <c r="D34" s="7"/>
      <c r="E34" s="7"/>
      <c r="F34" s="7"/>
      <c r="G34" s="7"/>
    </row>
    <row r="35" spans="1:7" ht="15" customHeight="1" x14ac:dyDescent="0.2">
      <c r="A35" s="26" t="s">
        <v>72</v>
      </c>
      <c r="B35" s="51">
        <v>0</v>
      </c>
      <c r="C35" s="51">
        <v>0</v>
      </c>
      <c r="D35" s="7"/>
      <c r="E35" s="7"/>
      <c r="F35" s="7"/>
      <c r="G35" s="7"/>
    </row>
    <row r="36" spans="1:7" ht="15" customHeight="1" x14ac:dyDescent="0.2">
      <c r="A36" s="26" t="s">
        <v>73</v>
      </c>
      <c r="B36" s="51">
        <v>0</v>
      </c>
      <c r="C36" s="51">
        <v>0</v>
      </c>
      <c r="D36" s="7"/>
      <c r="E36" s="7"/>
      <c r="F36" s="7"/>
      <c r="G36" s="7"/>
    </row>
    <row r="37" spans="1:7" ht="15" customHeight="1" x14ac:dyDescent="0.2">
      <c r="A37" s="26" t="s">
        <v>74</v>
      </c>
      <c r="B37" s="51">
        <v>26376.93</v>
      </c>
      <c r="C37" s="51">
        <v>0</v>
      </c>
      <c r="D37" s="7"/>
      <c r="E37" s="7"/>
      <c r="F37" s="7"/>
      <c r="G37" s="7"/>
    </row>
    <row r="38" spans="1:7" ht="15" customHeight="1" x14ac:dyDescent="0.2">
      <c r="A38" s="36" t="s">
        <v>75</v>
      </c>
      <c r="B38" s="53">
        <f>B39+B40+B42</f>
        <v>79171.039999999994</v>
      </c>
      <c r="C38" s="53">
        <f>C39+C40</f>
        <v>64046.64</v>
      </c>
      <c r="D38" s="7"/>
      <c r="E38" s="7"/>
      <c r="F38" s="7"/>
      <c r="G38" s="7"/>
    </row>
    <row r="39" spans="1:7" ht="15" customHeight="1" x14ac:dyDescent="0.2">
      <c r="A39" s="26" t="s">
        <v>76</v>
      </c>
      <c r="B39" s="51">
        <v>2473.6999999999998</v>
      </c>
      <c r="C39" s="51">
        <v>1863.7</v>
      </c>
      <c r="D39" s="7"/>
      <c r="E39" s="7"/>
      <c r="F39" s="7"/>
      <c r="G39" s="7"/>
    </row>
    <row r="40" spans="1:7" ht="15" customHeight="1" x14ac:dyDescent="0.2">
      <c r="A40" s="26" t="s">
        <v>77</v>
      </c>
      <c r="B40" s="51">
        <v>72516.95</v>
      </c>
      <c r="C40" s="51">
        <v>62182.94</v>
      </c>
      <c r="D40" s="7"/>
      <c r="E40" s="7"/>
      <c r="F40" s="7"/>
      <c r="G40" s="7"/>
    </row>
    <row r="41" spans="1:7" ht="15" customHeight="1" x14ac:dyDescent="0.2">
      <c r="A41" s="26" t="s">
        <v>171</v>
      </c>
      <c r="B41" s="51">
        <v>0</v>
      </c>
      <c r="C41" s="51">
        <v>0</v>
      </c>
      <c r="D41" s="7"/>
      <c r="E41" s="7"/>
      <c r="F41" s="7"/>
      <c r="G41" s="7"/>
    </row>
    <row r="42" spans="1:7" ht="15" customHeight="1" x14ac:dyDescent="0.2">
      <c r="A42" s="26" t="s">
        <v>172</v>
      </c>
      <c r="B42" s="51">
        <v>4180.3900000000003</v>
      </c>
      <c r="C42" s="51">
        <v>0</v>
      </c>
      <c r="D42" s="7"/>
      <c r="E42" s="7"/>
      <c r="F42" s="7"/>
      <c r="G42" s="7"/>
    </row>
    <row r="43" spans="1:7" ht="15" customHeight="1" x14ac:dyDescent="0.2">
      <c r="A43" s="36" t="s">
        <v>78</v>
      </c>
      <c r="B43" s="53">
        <v>0</v>
      </c>
      <c r="C43" s="53">
        <v>0</v>
      </c>
      <c r="D43" s="7"/>
      <c r="E43" s="7"/>
      <c r="F43" s="7"/>
      <c r="G43" s="7"/>
    </row>
    <row r="44" spans="1:7" ht="15" customHeight="1" x14ac:dyDescent="0.2">
      <c r="A44" s="36" t="s">
        <v>79</v>
      </c>
      <c r="B44" s="53">
        <v>0</v>
      </c>
      <c r="C44" s="53">
        <v>0</v>
      </c>
      <c r="D44" s="7"/>
      <c r="E44" s="7"/>
      <c r="F44" s="7"/>
      <c r="G44" s="7"/>
    </row>
    <row r="45" spans="1:7" ht="15" customHeight="1" x14ac:dyDescent="0.2">
      <c r="A45" s="36" t="s">
        <v>80</v>
      </c>
      <c r="B45" s="53">
        <v>0</v>
      </c>
      <c r="C45" s="53">
        <v>0</v>
      </c>
      <c r="D45" s="7"/>
      <c r="E45" s="7"/>
      <c r="F45" s="7"/>
      <c r="G45" s="7"/>
    </row>
    <row r="46" spans="1:7" ht="15" customHeight="1" x14ac:dyDescent="0.2">
      <c r="A46" s="36" t="s">
        <v>81</v>
      </c>
      <c r="B46" s="53">
        <v>150605.35</v>
      </c>
      <c r="C46" s="53">
        <v>83509.899999999994</v>
      </c>
      <c r="D46" s="7"/>
      <c r="E46" s="7"/>
      <c r="F46" s="7"/>
      <c r="G46" s="7"/>
    </row>
    <row r="47" spans="1:7" ht="15" customHeight="1" x14ac:dyDescent="0.2">
      <c r="A47" s="40" t="s">
        <v>111</v>
      </c>
      <c r="B47" s="53">
        <f>B27+B28+B31+B32+B38+B43+B44+B45+B46</f>
        <v>1908613.8000000003</v>
      </c>
      <c r="C47" s="53">
        <f>C27+C28+C31+C32+C38+C43+C44+C45+C46</f>
        <v>1958599.14</v>
      </c>
      <c r="D47" s="7"/>
      <c r="E47" s="7"/>
      <c r="F47" s="7"/>
      <c r="G47" s="7"/>
    </row>
    <row r="48" spans="1:7" ht="15" customHeight="1" x14ac:dyDescent="0.2">
      <c r="A48" s="41" t="s">
        <v>82</v>
      </c>
      <c r="B48" s="42">
        <f>B25-B47</f>
        <v>61456.299999999348</v>
      </c>
      <c r="C48" s="42">
        <f>C25-C47</f>
        <v>57675.520000000251</v>
      </c>
      <c r="D48" s="7"/>
      <c r="E48" s="7"/>
      <c r="F48" s="7"/>
      <c r="G48" s="7"/>
    </row>
    <row r="49" spans="1:7" ht="15" customHeight="1" x14ac:dyDescent="0.2">
      <c r="A49" s="36" t="s">
        <v>83</v>
      </c>
      <c r="B49" s="54"/>
      <c r="C49" s="54"/>
      <c r="D49" s="7"/>
      <c r="E49" s="7"/>
      <c r="F49" s="7"/>
      <c r="G49" s="7"/>
    </row>
    <row r="50" spans="1:7" ht="15" customHeight="1" x14ac:dyDescent="0.2">
      <c r="A50" s="36" t="s">
        <v>112</v>
      </c>
      <c r="B50" s="52">
        <v>0</v>
      </c>
      <c r="C50" s="52">
        <v>0</v>
      </c>
      <c r="D50" s="7"/>
      <c r="E50" s="7"/>
      <c r="F50" s="7"/>
      <c r="G50" s="7"/>
    </row>
    <row r="51" spans="1:7" ht="15" customHeight="1" x14ac:dyDescent="0.2">
      <c r="A51" s="36" t="s">
        <v>113</v>
      </c>
      <c r="B51" s="52">
        <f>SUM(B52:B53)</f>
        <v>155.29999999999998</v>
      </c>
      <c r="C51" s="52">
        <f>SUM(C52:C53)</f>
        <v>78.040000000000006</v>
      </c>
      <c r="D51" s="7"/>
      <c r="E51" s="7"/>
      <c r="F51" s="7"/>
      <c r="G51" s="7"/>
    </row>
    <row r="52" spans="1:7" ht="15" customHeight="1" x14ac:dyDescent="0.2">
      <c r="A52" s="26" t="s">
        <v>114</v>
      </c>
      <c r="B52" s="54">
        <v>0.04</v>
      </c>
      <c r="C52" s="54">
        <v>0.04</v>
      </c>
      <c r="D52" s="7"/>
      <c r="E52" s="7"/>
      <c r="F52" s="7"/>
      <c r="G52" s="7"/>
    </row>
    <row r="53" spans="1:7" ht="15" customHeight="1" x14ac:dyDescent="0.2">
      <c r="A53" s="26" t="s">
        <v>115</v>
      </c>
      <c r="B53" s="54">
        <f>155.19+0.07</f>
        <v>155.26</v>
      </c>
      <c r="C53" s="54">
        <v>78</v>
      </c>
      <c r="D53" s="7"/>
      <c r="E53" s="7"/>
      <c r="F53" s="7"/>
      <c r="G53" s="7"/>
    </row>
    <row r="54" spans="1:7" ht="15" customHeight="1" x14ac:dyDescent="0.2">
      <c r="A54" s="36" t="s">
        <v>116</v>
      </c>
      <c r="B54" s="52">
        <f>SUM(B55:B56)</f>
        <v>136.78</v>
      </c>
      <c r="C54" s="52">
        <f>SUM(C55:C56)</f>
        <v>1376.69</v>
      </c>
      <c r="D54" s="7"/>
      <c r="E54" s="7"/>
      <c r="F54" s="7"/>
      <c r="G54" s="7"/>
    </row>
    <row r="55" spans="1:7" ht="15" customHeight="1" x14ac:dyDescent="0.2">
      <c r="A55" s="26" t="s">
        <v>117</v>
      </c>
      <c r="B55" s="51">
        <v>0</v>
      </c>
      <c r="C55" s="51">
        <v>0</v>
      </c>
      <c r="D55" s="7"/>
      <c r="E55" s="7"/>
      <c r="F55" s="7"/>
      <c r="G55" s="7"/>
    </row>
    <row r="56" spans="1:7" ht="15" customHeight="1" x14ac:dyDescent="0.2">
      <c r="A56" s="26" t="s">
        <v>118</v>
      </c>
      <c r="B56" s="54">
        <v>136.78</v>
      </c>
      <c r="C56" s="54">
        <v>1376.69</v>
      </c>
      <c r="D56" s="7"/>
      <c r="E56" s="7"/>
      <c r="F56" s="7"/>
      <c r="G56" s="7"/>
    </row>
    <row r="57" spans="1:7" ht="15" customHeight="1" x14ac:dyDescent="0.2">
      <c r="A57" s="41" t="s">
        <v>84</v>
      </c>
      <c r="B57" s="42">
        <f>B50+B51-B54</f>
        <v>18.519999999999982</v>
      </c>
      <c r="C57" s="42">
        <f>C50+C51-C54</f>
        <v>-1298.6500000000001</v>
      </c>
      <c r="D57" s="7"/>
      <c r="E57" s="7"/>
      <c r="F57" s="7"/>
      <c r="G57" s="7"/>
    </row>
    <row r="58" spans="1:7" ht="15" customHeight="1" x14ac:dyDescent="0.2">
      <c r="A58" s="36" t="s">
        <v>85</v>
      </c>
      <c r="B58" s="54"/>
      <c r="C58" s="54"/>
      <c r="D58" s="7"/>
      <c r="E58" s="7"/>
      <c r="F58" s="7"/>
      <c r="G58" s="7"/>
    </row>
    <row r="59" spans="1:7" ht="15" customHeight="1" x14ac:dyDescent="0.2">
      <c r="A59" s="36" t="s">
        <v>86</v>
      </c>
      <c r="B59" s="54">
        <v>0</v>
      </c>
      <c r="C59" s="54">
        <v>0</v>
      </c>
    </row>
    <row r="60" spans="1:7" ht="15" customHeight="1" x14ac:dyDescent="0.2">
      <c r="A60" s="36" t="s">
        <v>87</v>
      </c>
      <c r="B60" s="51">
        <v>0</v>
      </c>
      <c r="C60" s="51">
        <v>0</v>
      </c>
    </row>
    <row r="61" spans="1:7" ht="15" customHeight="1" x14ac:dyDescent="0.2">
      <c r="A61" s="41" t="s">
        <v>88</v>
      </c>
      <c r="B61" s="42">
        <f>B59-B60</f>
        <v>0</v>
      </c>
      <c r="C61" s="42">
        <f>C59-C60</f>
        <v>0</v>
      </c>
    </row>
    <row r="62" spans="1:7" ht="15" hidden="1" customHeight="1" x14ac:dyDescent="0.2">
      <c r="A62" s="36" t="s">
        <v>89</v>
      </c>
      <c r="B62" s="39"/>
      <c r="C62" s="39"/>
    </row>
    <row r="63" spans="1:7" ht="15" hidden="1" customHeight="1" x14ac:dyDescent="0.2">
      <c r="A63" s="36" t="s">
        <v>90</v>
      </c>
      <c r="B63" s="37">
        <v>0</v>
      </c>
      <c r="C63" s="37">
        <v>0</v>
      </c>
    </row>
    <row r="64" spans="1:7" ht="15" hidden="1" customHeight="1" x14ac:dyDescent="0.2">
      <c r="A64" s="36" t="s">
        <v>91</v>
      </c>
      <c r="B64" s="37">
        <v>0</v>
      </c>
      <c r="C64" s="37">
        <v>0</v>
      </c>
    </row>
    <row r="65" spans="1:3" ht="15" hidden="1" customHeight="1" x14ac:dyDescent="0.2">
      <c r="A65" s="41" t="s">
        <v>92</v>
      </c>
      <c r="B65" s="42">
        <f>B63-B64</f>
        <v>0</v>
      </c>
      <c r="C65" s="42">
        <f>C63-C64</f>
        <v>0</v>
      </c>
    </row>
    <row r="66" spans="1:3" ht="15" customHeight="1" x14ac:dyDescent="0.2">
      <c r="A66" s="36" t="s">
        <v>97</v>
      </c>
      <c r="B66" s="53">
        <f>B48+B57+B61+B65</f>
        <v>61474.819999999345</v>
      </c>
      <c r="C66" s="53">
        <f>C48+C57+C61+C65</f>
        <v>56376.87000000025</v>
      </c>
    </row>
    <row r="67" spans="1:3" ht="15" customHeight="1" x14ac:dyDescent="0.2">
      <c r="A67" s="26" t="s">
        <v>93</v>
      </c>
      <c r="B67" s="51">
        <f>78812.48-18548.36</f>
        <v>60264.119999999995</v>
      </c>
      <c r="C67" s="51">
        <v>55857.78</v>
      </c>
    </row>
    <row r="68" spans="1:3" ht="15" customHeight="1" x14ac:dyDescent="0.2">
      <c r="A68" s="41" t="s">
        <v>94</v>
      </c>
      <c r="B68" s="42">
        <f>B66-B67</f>
        <v>1210.6999999993495</v>
      </c>
      <c r="C68" s="42">
        <f>C66-C67</f>
        <v>519.09000000025117</v>
      </c>
    </row>
    <row r="69" spans="1:3" ht="15" customHeight="1" x14ac:dyDescent="0.2">
      <c r="B69" s="5"/>
    </row>
    <row r="70" spans="1:3" ht="15" customHeight="1" x14ac:dyDescent="0.2">
      <c r="B70" s="5"/>
    </row>
    <row r="82" spans="1:3" ht="15" customHeight="1" x14ac:dyDescent="0.2">
      <c r="A82" s="1"/>
      <c r="B82" s="1"/>
      <c r="C82" s="1"/>
    </row>
    <row r="83" spans="1:3" ht="15" customHeight="1" x14ac:dyDescent="0.2">
      <c r="A83" s="8"/>
      <c r="B83" s="8"/>
      <c r="C83" s="8"/>
    </row>
    <row r="84" spans="1:3" ht="15" customHeight="1" x14ac:dyDescent="0.2">
      <c r="A84" s="8"/>
      <c r="B84" s="8"/>
      <c r="C84" s="8"/>
    </row>
    <row r="85" spans="1:3" ht="15" customHeight="1" x14ac:dyDescent="0.2">
      <c r="A85" s="8"/>
      <c r="B85" s="8"/>
      <c r="C85" s="8"/>
    </row>
  </sheetData>
  <mergeCells count="6">
    <mergeCell ref="A9:C9"/>
    <mergeCell ref="A1:C1"/>
    <mergeCell ref="A2:C2"/>
    <mergeCell ref="A3:C3"/>
    <mergeCell ref="A6:C6"/>
    <mergeCell ref="A7:C7"/>
  </mergeCells>
  <phoneticPr fontId="0" type="noConversion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StatoPatrimoniale</vt:lpstr>
      <vt:lpstr>ContoEconomico</vt:lpstr>
      <vt:lpstr>ContoEconomico!Area_stampa</vt:lpstr>
      <vt:lpstr>StatoPatrimoniale!Area_stampa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Catia Biliotti</cp:lastModifiedBy>
  <cp:lastPrinted>2021-05-27T12:46:01Z</cp:lastPrinted>
  <dcterms:created xsi:type="dcterms:W3CDTF">2015-07-14T19:28:16Z</dcterms:created>
  <dcterms:modified xsi:type="dcterms:W3CDTF">2021-06-03T09:11:46Z</dcterms:modified>
</cp:coreProperties>
</file>