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iliotti\1 CONSUNTIVO\BILESERCIZIO 2015\BILES2015 DEF\"/>
    </mc:Choice>
  </mc:AlternateContent>
  <bookViews>
    <workbookView xWindow="240" yWindow="45" windowWidth="19320" windowHeight="7995"/>
  </bookViews>
  <sheets>
    <sheet name="StatoPatrimoniale" sheetId="1" r:id="rId1"/>
    <sheet name="ContoEconomico" sheetId="2" r:id="rId2"/>
  </sheets>
  <definedNames>
    <definedName name="_xlnm.Print_Area" localSheetId="1">ContoEconomico!$A$1:$C$76</definedName>
    <definedName name="_xlnm.Print_Area" localSheetId="0">StatoPatrimoniale!$A$1:$H$74</definedName>
  </definedNames>
  <calcPr calcId="162913"/>
</workbook>
</file>

<file path=xl/calcChain.xml><?xml version="1.0" encoding="utf-8"?>
<calcChain xmlns="http://schemas.openxmlformats.org/spreadsheetml/2006/main">
  <c r="B48" i="1" l="1"/>
  <c r="B51" i="1"/>
  <c r="B75" i="2" l="1"/>
  <c r="E49" i="1"/>
  <c r="B49" i="2" l="1"/>
  <c r="B50" i="2"/>
  <c r="B22" i="2"/>
  <c r="F27" i="1" l="1"/>
  <c r="E27" i="1" s="1"/>
  <c r="F13" i="1" l="1"/>
  <c r="B33" i="2"/>
  <c r="C73" i="2"/>
  <c r="B71" i="2"/>
  <c r="B73" i="2" s="1"/>
  <c r="B29" i="2"/>
  <c r="B21" i="2"/>
  <c r="B20" i="2"/>
  <c r="B19" i="2"/>
  <c r="E52" i="1"/>
  <c r="E46" i="1"/>
  <c r="E29" i="1"/>
  <c r="E24" i="1"/>
  <c r="E30" i="1" s="1"/>
  <c r="B46" i="1" l="1"/>
  <c r="B45" i="1"/>
  <c r="B18" i="1" l="1"/>
  <c r="B14" i="1" s="1"/>
  <c r="E14" i="1"/>
  <c r="B28" i="1"/>
  <c r="B25" i="1"/>
  <c r="B23" i="1"/>
  <c r="B22" i="1"/>
  <c r="B31" i="2" l="1"/>
  <c r="B28" i="2"/>
  <c r="B23" i="2"/>
  <c r="C69" i="2"/>
  <c r="C60" i="2"/>
  <c r="C57" i="2"/>
  <c r="C54" i="2"/>
  <c r="C53" i="2" s="1"/>
  <c r="C65" i="2" s="1"/>
  <c r="C48" i="2"/>
  <c r="C44" i="2"/>
  <c r="C43" i="2"/>
  <c r="C37" i="2"/>
  <c r="C36" i="2"/>
  <c r="C33" i="2"/>
  <c r="C32" i="2"/>
  <c r="C28" i="2"/>
  <c r="C27" i="2" s="1"/>
  <c r="C23" i="2"/>
  <c r="C21" i="2"/>
  <c r="C20" i="2"/>
  <c r="C19" i="2"/>
  <c r="C18" i="2" s="1"/>
  <c r="C14" i="2"/>
  <c r="C13" i="2"/>
  <c r="C12" i="2" s="1"/>
  <c r="C24" i="2" s="1"/>
  <c r="C41" i="2" l="1"/>
  <c r="C31" i="2"/>
  <c r="B27" i="2"/>
  <c r="C50" i="2"/>
  <c r="C51" i="2" s="1"/>
  <c r="C74" i="2" s="1"/>
  <c r="C76" i="2" s="1"/>
  <c r="F29" i="1"/>
  <c r="E13" i="1"/>
  <c r="C51" i="1"/>
  <c r="C57" i="1"/>
  <c r="B26" i="1"/>
  <c r="B27" i="1"/>
  <c r="B24" i="1"/>
  <c r="F70" i="1"/>
  <c r="F57" i="1"/>
  <c r="C70" i="1"/>
  <c r="C61" i="1"/>
  <c r="C41" i="1"/>
  <c r="C65" i="1" s="1"/>
  <c r="C30" i="1"/>
  <c r="C21" i="1"/>
  <c r="C14" i="1"/>
  <c r="C34" i="1" l="1"/>
  <c r="F30" i="1"/>
  <c r="F14" i="1"/>
  <c r="F21" i="1" s="1"/>
  <c r="B53" i="2"/>
  <c r="B18" i="2"/>
  <c r="B69" i="2"/>
  <c r="B60" i="2"/>
  <c r="B57" i="2"/>
  <c r="B48" i="2"/>
  <c r="B41" i="2"/>
  <c r="B37" i="2"/>
  <c r="E70" i="1"/>
  <c r="B41" i="1"/>
  <c r="B70" i="1"/>
  <c r="C72" i="1"/>
  <c r="E57" i="1"/>
  <c r="B61" i="1"/>
  <c r="B30" i="1"/>
  <c r="B21" i="1"/>
  <c r="B34" i="1" s="1"/>
  <c r="B12" i="2"/>
  <c r="F72" i="1" l="1"/>
  <c r="B65" i="2"/>
  <c r="B65" i="1"/>
  <c r="B72" i="1" s="1"/>
  <c r="B24" i="2"/>
  <c r="B51" i="2" l="1"/>
  <c r="B74" i="2" s="1"/>
  <c r="B76" i="2" s="1"/>
  <c r="E20" i="1" s="1"/>
  <c r="E21" i="1" s="1"/>
  <c r="E72" i="1" s="1"/>
  <c r="E73" i="1" s="1"/>
</calcChain>
</file>

<file path=xl/sharedStrings.xml><?xml version="1.0" encoding="utf-8"?>
<sst xmlns="http://schemas.openxmlformats.org/spreadsheetml/2006/main" count="191" uniqueCount="163">
  <si>
    <t>ATTIVO</t>
  </si>
  <si>
    <t>PASSIVO</t>
  </si>
  <si>
    <t>I. Immobilizzazioni Immateriali</t>
  </si>
  <si>
    <t>1) Costi di impianto e ampliamento</t>
  </si>
  <si>
    <t>2) Costi di ricerca e sviluppo</t>
  </si>
  <si>
    <t>4) concessioni, licenze, marchi e diritti simili</t>
  </si>
  <si>
    <t>5) Altre immobilizzazioni immateriali</t>
  </si>
  <si>
    <t>6) Immobilizzazioni in corso e acconti</t>
  </si>
  <si>
    <t>II. Immobilizzazioni Materiali</t>
  </si>
  <si>
    <t>1) Terreni</t>
  </si>
  <si>
    <t>2) Fabbricati</t>
  </si>
  <si>
    <t>9) Immobilizzazioni in corso e acconti</t>
  </si>
  <si>
    <t>III. Immobilizzazioni Finanziarie</t>
  </si>
  <si>
    <t>con separata indicazione di quelle concesse in locazione finanziaria</t>
  </si>
  <si>
    <t>1) Crediti finanziari</t>
  </si>
  <si>
    <t>2) Titoli</t>
  </si>
  <si>
    <t>Totale Immobizzazioni (A)</t>
  </si>
  <si>
    <t>A) PATRIMONIO NETTO</t>
  </si>
  <si>
    <t>I. Fondo di dotazione</t>
  </si>
  <si>
    <t>II. Riserve</t>
  </si>
  <si>
    <t>1) Riserva legale</t>
  </si>
  <si>
    <t>2) Riserve vincolate ad investimenti</t>
  </si>
  <si>
    <t>3) Altre riserve</t>
  </si>
  <si>
    <t>III. Donazioni e lasciti</t>
  </si>
  <si>
    <t>IV. Utile (perdite) portate a nuovo</t>
  </si>
  <si>
    <t>V. Utile (perdita) di esercizio</t>
  </si>
  <si>
    <t>3) Diritti di brevetto e di utilizzazione opere ingegno</t>
  </si>
  <si>
    <t>Totale Patrimonio Netto (A)</t>
  </si>
  <si>
    <t>B) FONDI PER RISCHI ED ONERI</t>
  </si>
  <si>
    <t>3) Fondo per rischi su crediti</t>
  </si>
  <si>
    <t>4) Fondo per rinnovi contrattuali</t>
  </si>
  <si>
    <t>5) Altri fondi</t>
  </si>
  <si>
    <t>Totale Fondi per rischi ed oneri (B)</t>
  </si>
  <si>
    <t xml:space="preserve"> </t>
  </si>
  <si>
    <t>C) TRATTAMENTO DI FINE RAPPORTO DI LAVORO SUBORDINATO</t>
  </si>
  <si>
    <t>B) ATTIVO CIRCOLANTE</t>
  </si>
  <si>
    <t>D) DEBITI</t>
  </si>
  <si>
    <t>con separata indicazione per ciascuna voce degli importi esigibili entro l'esercizio successivo</t>
  </si>
  <si>
    <t>con separata indicazione per ciascuna voce, degli importi esigibili entro l'esercizio successivo</t>
  </si>
  <si>
    <t>1) Materie prime sussidiarie e di consumo</t>
  </si>
  <si>
    <t>2) Altre</t>
  </si>
  <si>
    <t>3) Acconti</t>
  </si>
  <si>
    <t>II. Crediti</t>
  </si>
  <si>
    <t>I. Rimanenze</t>
  </si>
  <si>
    <t>1) Debiti verso Banche</t>
  </si>
  <si>
    <t>entro 12 mesi</t>
  </si>
  <si>
    <t>oltre 12 mesi</t>
  </si>
  <si>
    <t>2) Debiti verso Regione Toscana</t>
  </si>
  <si>
    <t>3) Debiti verso altri soggetti pubblici</t>
  </si>
  <si>
    <t>con separata indicazione per ciascuna voce, degli</t>
  </si>
  <si>
    <t>importi esigibili entro l'esercizio successivo</t>
  </si>
  <si>
    <t>4) Debiti verso fornitori</t>
  </si>
  <si>
    <t>1) Crediti verso Regione</t>
  </si>
  <si>
    <t>2) Crediti verso altri Enti pubblici</t>
  </si>
  <si>
    <t>5) Debiti Tributari</t>
  </si>
  <si>
    <t>3) Crediti verso soggetti privati</t>
  </si>
  <si>
    <t>4) Crediti verso l'Erario</t>
  </si>
  <si>
    <t>5) Crediti verso altri</t>
  </si>
  <si>
    <t>7) Altri debiti</t>
  </si>
  <si>
    <t>III. Attività Finanziarie che non costituisc.Immobiliz.</t>
  </si>
  <si>
    <t>1) Titoli a breve</t>
  </si>
  <si>
    <t>IV. Disponibilità Liquide</t>
  </si>
  <si>
    <t>1) Cassa</t>
  </si>
  <si>
    <t>2) Banca c/c</t>
  </si>
  <si>
    <t>3) Posta c/c</t>
  </si>
  <si>
    <t>Totale Attivo Circolante (B)</t>
  </si>
  <si>
    <t>Totale Debiti (D)</t>
  </si>
  <si>
    <t>C) RATEI E RISCONTI</t>
  </si>
  <si>
    <t>E) RATEI E RISCONTI</t>
  </si>
  <si>
    <t>TOTALE ATTIVO</t>
  </si>
  <si>
    <t>TOTALE PASSIVO</t>
  </si>
  <si>
    <t>CONTI D'ORDINE</t>
  </si>
  <si>
    <t>6) debiti verso istituti previdenziali</t>
  </si>
  <si>
    <t>1) Fondo imposte pregresse</t>
  </si>
  <si>
    <t>A) IMMOBILIZZAZIONI (valore netto)</t>
  </si>
  <si>
    <t>Totale Ratei e Risconti (E)</t>
  </si>
  <si>
    <t>Totale Ratei e Risconti C)</t>
  </si>
  <si>
    <t>Ratei Attivi</t>
  </si>
  <si>
    <t>Risconti Attivi</t>
  </si>
  <si>
    <t>Ratei Passivi</t>
  </si>
  <si>
    <t>Risconti Passivi</t>
  </si>
  <si>
    <t>Grosseto - Frazione Alberese - Località Pianacce, Via Aurelia Antica</t>
  </si>
  <si>
    <t>Codice Fiscale 80004430536 - Partita I.V.A. 00238180533</t>
  </si>
  <si>
    <t xml:space="preserve">ENTE PARCO REGIONALE DELLA MAREMMA </t>
  </si>
  <si>
    <t>Redatto ai sensi della delibera di G.R. Toscana n. 13 del 14/01/2013</t>
  </si>
  <si>
    <t>A) VALORE DELLA PRODUZIONE</t>
  </si>
  <si>
    <t>A.1) Ricavi delle vendite e delle prestazioni</t>
  </si>
  <si>
    <t>A.1.a) Ricavi prestazioni attività istituzionale</t>
  </si>
  <si>
    <t>A.1.b) Ricavi prestazioni attività commerciale</t>
  </si>
  <si>
    <t>A.2) Variazione delle rimanenze di prodotti in corso di lavorazione,semilavorati e finiti</t>
  </si>
  <si>
    <t>A.3) Variazione dei lavori in corso su ordinazione</t>
  </si>
  <si>
    <t>A.4) Incrementi di immobilizzazioni per lavori interni (costi capitalizzati)</t>
  </si>
  <si>
    <t>A.5) Altri ricavi e proventi</t>
  </si>
  <si>
    <t>A.5.a) Contributi c/esercizio da Regione</t>
  </si>
  <si>
    <t>A.5.b) Contributi c/esercizio da altri Enti Pubblici</t>
  </si>
  <si>
    <t>A.5.d) Costi sterilizzati da utilizzo contributi per investimenti</t>
  </si>
  <si>
    <t>A.5.e) Altri ricavi e proventi,concorsi recuperi e rimborsi</t>
  </si>
  <si>
    <t>Totale valore della produzione (A)</t>
  </si>
  <si>
    <t>B.6) Acquisti di beni</t>
  </si>
  <si>
    <t>B.7) Acquisti di servizi</t>
  </si>
  <si>
    <t>B.7.a) Manutenzioni e riparazioni</t>
  </si>
  <si>
    <t>B.7.b) Altri acquisti di servizi</t>
  </si>
  <si>
    <t>B.8) Godimento di beni di terzi</t>
  </si>
  <si>
    <t>B.9) Personale</t>
  </si>
  <si>
    <t>B.9.a) Salari e stipendi</t>
  </si>
  <si>
    <t>B.9.b) Oneri sociali</t>
  </si>
  <si>
    <t>B.9 c) Trattamento di fine rapporto</t>
  </si>
  <si>
    <t>B.9.d) Trattamento di quiescenza e simili</t>
  </si>
  <si>
    <t>B.9.e) Altri costi</t>
  </si>
  <si>
    <t>B.10) Ammortamenti e svalutazioni</t>
  </si>
  <si>
    <t>B.10.a) Ammortamento immobilizzazioni immateriali</t>
  </si>
  <si>
    <t>B.10.b) Ammortamento immobilizzzioni materiali</t>
  </si>
  <si>
    <t>B.11) Variazione delle rimanenze di materie prime,sussidiarie,di consumo e merci</t>
  </si>
  <si>
    <t>B.12) Accantonamenti per rischi ed oneri</t>
  </si>
  <si>
    <t>B.12.a) Accantonamenti per imposte</t>
  </si>
  <si>
    <t>B.12.b) Accantonamenti per contenziosi</t>
  </si>
  <si>
    <t>B.12.c) Accantonamenti per rischi su crediti</t>
  </si>
  <si>
    <t xml:space="preserve">B.12.d) Accantonamenti per risarcimento danni </t>
  </si>
  <si>
    <t>B.12.e) Accantonamenti per fondo risorse decentrate</t>
  </si>
  <si>
    <t>B.12.f) Accantonamenti per rinnovi contrattuali</t>
  </si>
  <si>
    <t xml:space="preserve">B.13) Altri Accantonamenti </t>
  </si>
  <si>
    <t>B.14) Oneri diversi di gestione</t>
  </si>
  <si>
    <t>Totale costidella produzione (B)</t>
  </si>
  <si>
    <t>DIFFERENZA TRA VALORE E COSTI DELLA PRODUZIONE (A-B)</t>
  </si>
  <si>
    <t>C) PROVENTI ED ONERI FINANZIARI</t>
  </si>
  <si>
    <t>C.1) Interessi attivi</t>
  </si>
  <si>
    <t>C.1.a) Interessi attivi su c/c bancario</t>
  </si>
  <si>
    <t>C.1.b) Interessi attivi su c/c postale</t>
  </si>
  <si>
    <t xml:space="preserve">C.1.c) Altri Interessi attivi </t>
  </si>
  <si>
    <t>C.2) Altri proventi finanziari</t>
  </si>
  <si>
    <t>C.2.a) Proventi finanziari su partecipazioni</t>
  </si>
  <si>
    <t>C.2.b) Altri proventi finanziari su titoli e crediti</t>
  </si>
  <si>
    <t>C.3) Interessi passivi</t>
  </si>
  <si>
    <t>C.3.a) Interessi passivi su c/c bancario</t>
  </si>
  <si>
    <t>C.3.b) Interessi passivi su c/c postale</t>
  </si>
  <si>
    <t>C.3.c) Altri Interessi passivi</t>
  </si>
  <si>
    <t>C.4) Altri oneri finanziari</t>
  </si>
  <si>
    <t>Totale C)</t>
  </si>
  <si>
    <t>D) RETTIFICHE DI VALORE DI  ATTIVITA' FINANZIARIE</t>
  </si>
  <si>
    <t>D.1) Rivalutazioni</t>
  </si>
  <si>
    <t>D.2) Svalutazioni</t>
  </si>
  <si>
    <t>Totale D)</t>
  </si>
  <si>
    <t>E) PROVENTI ED ONERI STRAORDINARI</t>
  </si>
  <si>
    <t>E.1)Proventi straordinari</t>
  </si>
  <si>
    <t>E.2) Oneri straordinari</t>
  </si>
  <si>
    <t>Totale E)</t>
  </si>
  <si>
    <t>RISULTATO PRIMA DELLE IMPOSTE (AB +-C+-D+-E)</t>
  </si>
  <si>
    <t>Imposte d'esercizio, correnti,differite e anticipate</t>
  </si>
  <si>
    <t>UTILE (O PERDITA) DELL'ESERCIZIO</t>
  </si>
  <si>
    <t>B) COSTI DELLA PRODUZIONE</t>
  </si>
  <si>
    <t>Bilancio dell'esercizio dal 01/01/2015 al 31/12/2015</t>
  </si>
  <si>
    <t>CONTO ECONOMICO AL 31/12/2015</t>
  </si>
  <si>
    <t>STATO PATRIMONIALE AL 31/12/2015</t>
  </si>
  <si>
    <t>3) Impianti e macchinari(17)</t>
  </si>
  <si>
    <t>5) Mobili e arredi (22-23-24)</t>
  </si>
  <si>
    <t>6) Automezzi (25)</t>
  </si>
  <si>
    <t>4) Attrezzature (21 e 33)</t>
  </si>
  <si>
    <t xml:space="preserve">entro 12 mesi </t>
  </si>
  <si>
    <t xml:space="preserve">A.5.c) Contributi c/esercizio da altri soggetti </t>
  </si>
  <si>
    <t>R.T.</t>
  </si>
  <si>
    <t>7) Altri beni (28-29-32-34)</t>
  </si>
  <si>
    <t>2a) Fondo per contenziosi legali in corso</t>
  </si>
  <si>
    <t>2b) Fondo per contenziosi da risarcimento danni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</si>
</sst>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4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5" fillId="2" borderId="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top"/>
    </xf>
    <xf numFmtId="4" fontId="3" fillId="2" borderId="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top"/>
    </xf>
    <xf numFmtId="4" fontId="5" fillId="2" borderId="0" xfId="0" applyNumberFormat="1" applyFont="1" applyFill="1" applyBorder="1" applyAlignment="1">
      <alignment vertical="top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top" wrapText="1"/>
    </xf>
    <xf numFmtId="4" fontId="4" fillId="3" borderId="0" xfId="0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1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/>
    <xf numFmtId="4" fontId="5" fillId="2" borderId="0" xfId="0" applyNumberFormat="1" applyFont="1" applyFill="1" applyBorder="1"/>
    <xf numFmtId="0" fontId="4" fillId="0" borderId="0" xfId="0" applyFont="1"/>
    <xf numFmtId="4" fontId="5" fillId="2" borderId="0" xfId="0" applyNumberFormat="1" applyFont="1" applyFill="1"/>
    <xf numFmtId="0" fontId="5" fillId="0" borderId="0" xfId="0" applyFont="1" applyBorder="1" applyAlignment="1">
      <alignment wrapText="1"/>
    </xf>
    <xf numFmtId="4" fontId="5" fillId="0" borderId="0" xfId="0" applyNumberFormat="1" applyFont="1" applyBorder="1"/>
    <xf numFmtId="4" fontId="7" fillId="2" borderId="0" xfId="0" applyNumberFormat="1" applyFont="1" applyFill="1"/>
    <xf numFmtId="0" fontId="4" fillId="3" borderId="0" xfId="0" applyFont="1" applyFill="1"/>
    <xf numFmtId="4" fontId="4" fillId="3" borderId="0" xfId="0" applyNumberFormat="1" applyFont="1" applyFill="1"/>
    <xf numFmtId="0" fontId="4" fillId="3" borderId="0" xfId="0" applyFont="1" applyFill="1" applyAlignment="1">
      <alignment vertical="top" wrapText="1"/>
    </xf>
    <xf numFmtId="4" fontId="5" fillId="3" borderId="0" xfId="0" applyNumberFormat="1" applyFont="1" applyFill="1"/>
    <xf numFmtId="0" fontId="5" fillId="0" borderId="0" xfId="0" applyFont="1" applyBorder="1" applyAlignment="1">
      <alignment vertical="top"/>
    </xf>
    <xf numFmtId="0" fontId="4" fillId="3" borderId="0" xfId="0" applyFont="1" applyFill="1" applyBorder="1"/>
    <xf numFmtId="4" fontId="4" fillId="3" borderId="0" xfId="0" applyNumberFormat="1" applyFont="1" applyFill="1" applyBorder="1"/>
    <xf numFmtId="0" fontId="5" fillId="0" borderId="0" xfId="0" applyFont="1" applyAlignment="1">
      <alignment vertical="top" wrapText="1"/>
    </xf>
    <xf numFmtId="4" fontId="4" fillId="0" borderId="0" xfId="0" applyNumberFormat="1" applyFont="1"/>
    <xf numFmtId="4" fontId="5" fillId="0" borderId="0" xfId="0" applyNumberFormat="1" applyFont="1"/>
    <xf numFmtId="0" fontId="4" fillId="4" borderId="0" xfId="0" applyFont="1" applyFill="1" applyBorder="1"/>
    <xf numFmtId="0" fontId="5" fillId="4" borderId="0" xfId="0" applyFont="1" applyFill="1" applyBorder="1"/>
    <xf numFmtId="4" fontId="4" fillId="3" borderId="1" xfId="0" applyNumberFormat="1" applyFont="1" applyFill="1" applyBorder="1"/>
    <xf numFmtId="0" fontId="5" fillId="0" borderId="0" xfId="0" applyNumberFormat="1" applyFont="1" applyBorder="1"/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NumberFormat="1" applyFont="1" applyFill="1" applyBorder="1"/>
    <xf numFmtId="4" fontId="6" fillId="5" borderId="0" xfId="0" applyNumberFormat="1" applyFont="1" applyFill="1"/>
    <xf numFmtId="4" fontId="5" fillId="5" borderId="0" xfId="0" applyNumberFormat="1" applyFont="1" applyFill="1" applyBorder="1"/>
    <xf numFmtId="4" fontId="6" fillId="5" borderId="0" xfId="0" applyNumberFormat="1" applyFont="1" applyFill="1" applyBorder="1"/>
    <xf numFmtId="4" fontId="3" fillId="5" borderId="0" xfId="0" applyNumberFormat="1" applyFont="1" applyFill="1" applyBorder="1"/>
    <xf numFmtId="4" fontId="3" fillId="5" borderId="0" xfId="0" applyNumberFormat="1" applyFont="1" applyFill="1" applyBorder="1" applyAlignment="1">
      <alignment horizontal="right"/>
    </xf>
    <xf numFmtId="4" fontId="5" fillId="5" borderId="0" xfId="0" applyNumberFormat="1" applyFont="1" applyFill="1"/>
    <xf numFmtId="4" fontId="3" fillId="5" borderId="0" xfId="0" applyNumberFormat="1" applyFont="1" applyFill="1"/>
    <xf numFmtId="4" fontId="4" fillId="5" borderId="0" xfId="0" applyNumberFormat="1" applyFont="1" applyFill="1"/>
    <xf numFmtId="4" fontId="4" fillId="5" borderId="0" xfId="0" applyNumberFormat="1" applyFont="1" applyFill="1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99FF66"/>
      <color rgb="FFB7CE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zoomScale="120" zoomScaleNormal="120" workbookViewId="0">
      <selection sqref="A1:H74"/>
    </sheetView>
  </sheetViews>
  <sheetFormatPr defaultRowHeight="12.75" x14ac:dyDescent="0.2"/>
  <cols>
    <col min="1" max="1" width="40.7109375" style="19" customWidth="1"/>
    <col min="2" max="3" width="11.7109375" style="19" customWidth="1"/>
    <col min="4" max="4" width="40.7109375" style="19" customWidth="1"/>
    <col min="5" max="5" width="13.28515625" style="19" bestFit="1" customWidth="1"/>
    <col min="6" max="6" width="11.7109375" style="19" customWidth="1"/>
    <col min="7" max="7" width="10.42578125" style="19" bestFit="1" customWidth="1"/>
    <col min="8" max="10" width="9.85546875" style="19" bestFit="1" customWidth="1"/>
    <col min="11" max="16384" width="9.140625" style="19"/>
  </cols>
  <sheetData>
    <row r="1" spans="1:15" ht="28.5" customHeight="1" x14ac:dyDescent="0.2">
      <c r="A1" s="60" t="s">
        <v>83</v>
      </c>
      <c r="B1" s="60"/>
      <c r="C1" s="60"/>
      <c r="D1" s="60"/>
      <c r="E1" s="60"/>
      <c r="F1" s="60"/>
    </row>
    <row r="2" spans="1:15" x14ac:dyDescent="0.2">
      <c r="A2" s="61" t="s">
        <v>81</v>
      </c>
      <c r="B2" s="61"/>
      <c r="C2" s="61"/>
      <c r="D2" s="61"/>
      <c r="E2" s="61"/>
      <c r="F2" s="61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">
      <c r="A3" s="61" t="s">
        <v>82</v>
      </c>
      <c r="B3" s="61"/>
      <c r="C3" s="61"/>
      <c r="D3" s="61"/>
      <c r="E3" s="61"/>
      <c r="F3" s="61"/>
      <c r="G3" s="20"/>
      <c r="H3" s="20"/>
      <c r="I3" s="20"/>
      <c r="J3" s="20"/>
      <c r="K3" s="20"/>
      <c r="L3" s="20"/>
      <c r="M3" s="20"/>
      <c r="N3" s="20"/>
      <c r="O3" s="20"/>
    </row>
    <row r="4" spans="1:15" x14ac:dyDescent="0.2">
      <c r="A4" s="21"/>
      <c r="B4" s="21"/>
      <c r="C4" s="21"/>
      <c r="D4" s="21"/>
      <c r="E4" s="21"/>
      <c r="F4" s="21"/>
      <c r="G4" s="20"/>
      <c r="H4" s="20"/>
      <c r="I4" s="20"/>
      <c r="J4" s="20"/>
      <c r="K4" s="20"/>
      <c r="L4" s="20"/>
      <c r="M4" s="20"/>
      <c r="N4" s="20"/>
      <c r="O4" s="20"/>
    </row>
    <row r="5" spans="1:15" x14ac:dyDescent="0.2">
      <c r="G5" s="20"/>
      <c r="H5" s="20"/>
      <c r="I5" s="20"/>
      <c r="J5" s="20"/>
      <c r="K5" s="20"/>
      <c r="L5" s="20"/>
      <c r="M5" s="20"/>
      <c r="N5" s="20"/>
      <c r="O5" s="20"/>
    </row>
    <row r="6" spans="1:15" ht="20.100000000000001" customHeight="1" x14ac:dyDescent="0.2">
      <c r="A6" s="59" t="s">
        <v>150</v>
      </c>
      <c r="B6" s="59"/>
      <c r="C6" s="59"/>
      <c r="D6" s="59"/>
      <c r="E6" s="59"/>
      <c r="F6" s="59"/>
      <c r="G6" s="20"/>
      <c r="H6" s="20"/>
      <c r="I6" s="20"/>
      <c r="J6" s="20"/>
      <c r="K6" s="20"/>
      <c r="L6" s="20"/>
      <c r="M6" s="20"/>
      <c r="N6" s="20"/>
      <c r="O6" s="20"/>
    </row>
    <row r="7" spans="1:15" ht="20.100000000000001" customHeight="1" x14ac:dyDescent="0.2">
      <c r="A7" s="59" t="s">
        <v>84</v>
      </c>
      <c r="B7" s="59"/>
      <c r="C7" s="59"/>
      <c r="D7" s="59"/>
      <c r="E7" s="59"/>
      <c r="F7" s="59"/>
      <c r="G7" s="20"/>
      <c r="H7" s="20"/>
      <c r="I7" s="20"/>
      <c r="J7" s="20"/>
      <c r="K7" s="20"/>
      <c r="L7" s="20"/>
      <c r="M7" s="20"/>
      <c r="N7" s="20"/>
      <c r="O7" s="20"/>
    </row>
    <row r="8" spans="1:15" x14ac:dyDescent="0.2">
      <c r="G8" s="20"/>
      <c r="H8" s="20"/>
      <c r="I8" s="20"/>
      <c r="J8" s="20"/>
      <c r="K8" s="20"/>
      <c r="L8" s="20"/>
      <c r="M8" s="20"/>
      <c r="N8" s="20"/>
      <c r="O8" s="20"/>
    </row>
    <row r="9" spans="1:15" ht="15.75" customHeight="1" x14ac:dyDescent="0.2">
      <c r="A9" s="59" t="s">
        <v>152</v>
      </c>
      <c r="B9" s="59"/>
      <c r="C9" s="59"/>
      <c r="D9" s="59"/>
      <c r="E9" s="59"/>
      <c r="F9" s="59"/>
      <c r="G9" s="20"/>
      <c r="H9" s="20"/>
      <c r="I9" s="20"/>
      <c r="J9" s="20"/>
      <c r="K9" s="20"/>
      <c r="L9" s="20"/>
      <c r="M9" s="20"/>
      <c r="N9" s="20"/>
      <c r="O9" s="20"/>
    </row>
    <row r="10" spans="1:15" x14ac:dyDescent="0.2">
      <c r="A10" s="59"/>
      <c r="B10" s="59"/>
      <c r="C10" s="59"/>
      <c r="D10" s="59"/>
      <c r="E10" s="59"/>
      <c r="F10" s="59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28.5" customHeight="1" x14ac:dyDescent="0.2">
      <c r="A11" s="22" t="s">
        <v>0</v>
      </c>
      <c r="B11" s="23">
        <v>42369</v>
      </c>
      <c r="C11" s="23">
        <v>42004</v>
      </c>
      <c r="D11" s="24" t="s">
        <v>1</v>
      </c>
      <c r="E11" s="23">
        <v>42369</v>
      </c>
      <c r="F11" s="23">
        <v>42004</v>
      </c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">
      <c r="A12" s="25" t="s">
        <v>74</v>
      </c>
      <c r="B12" s="51"/>
      <c r="C12" s="51"/>
      <c r="D12" s="27" t="s">
        <v>17</v>
      </c>
      <c r="E12" s="55"/>
      <c r="F12" s="55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23.25" customHeight="1" x14ac:dyDescent="0.2">
      <c r="A13" s="29" t="s">
        <v>13</v>
      </c>
      <c r="B13" s="51"/>
      <c r="C13" s="51"/>
      <c r="D13" s="27" t="s">
        <v>18</v>
      </c>
      <c r="E13" s="50">
        <f>348656.24-4741.14</f>
        <v>343915.1</v>
      </c>
      <c r="F13" s="50">
        <f>348656.24-4741.14</f>
        <v>343915.1</v>
      </c>
      <c r="G13" s="30">
        <v>-4741.1400000000003</v>
      </c>
      <c r="H13" s="20" t="s">
        <v>159</v>
      </c>
      <c r="I13" s="20"/>
      <c r="J13" s="20"/>
      <c r="K13" s="20"/>
      <c r="L13" s="20"/>
      <c r="M13" s="20"/>
      <c r="N13" s="20"/>
      <c r="O13" s="20"/>
    </row>
    <row r="14" spans="1:15" x14ac:dyDescent="0.2">
      <c r="A14" s="25" t="s">
        <v>2</v>
      </c>
      <c r="B14" s="52">
        <f>SUM(B15:B20)</f>
        <v>8189.607</v>
      </c>
      <c r="C14" s="52">
        <f>SUM(C15:C20)</f>
        <v>9795.6200000000008</v>
      </c>
      <c r="D14" s="27" t="s">
        <v>19</v>
      </c>
      <c r="E14" s="50">
        <f>SUM(E15:E17)</f>
        <v>92391.26</v>
      </c>
      <c r="F14" s="50">
        <f>SUM(F15:F17)</f>
        <v>92391.26</v>
      </c>
      <c r="G14" s="20"/>
      <c r="H14" s="20"/>
      <c r="I14" s="20"/>
      <c r="J14" s="20"/>
      <c r="K14" s="20"/>
      <c r="L14" s="20"/>
      <c r="M14" s="20"/>
      <c r="N14" s="20"/>
      <c r="O14" s="20"/>
    </row>
    <row r="15" spans="1:15" x14ac:dyDescent="0.2">
      <c r="A15" s="20" t="s">
        <v>3</v>
      </c>
      <c r="B15" s="53"/>
      <c r="C15" s="53"/>
      <c r="D15" s="19" t="s">
        <v>20</v>
      </c>
      <c r="E15" s="56"/>
      <c r="F15" s="56"/>
      <c r="G15" s="20"/>
      <c r="H15" s="20"/>
      <c r="I15" s="20"/>
      <c r="J15" s="20"/>
      <c r="K15" s="20"/>
      <c r="L15" s="20"/>
      <c r="M15" s="20"/>
      <c r="N15" s="20"/>
      <c r="O15" s="20"/>
    </row>
    <row r="16" spans="1:15" x14ac:dyDescent="0.2">
      <c r="A16" s="20" t="s">
        <v>4</v>
      </c>
      <c r="B16" s="53"/>
      <c r="C16" s="53"/>
      <c r="D16" s="19" t="s">
        <v>21</v>
      </c>
      <c r="E16" s="56">
        <v>92391.26</v>
      </c>
      <c r="F16" s="56">
        <v>92391.26</v>
      </c>
      <c r="G16" s="20"/>
      <c r="H16" s="20"/>
      <c r="I16" s="20"/>
      <c r="J16" s="20"/>
      <c r="K16" s="20"/>
      <c r="L16" s="20"/>
      <c r="M16" s="20"/>
      <c r="N16" s="20"/>
      <c r="O16" s="20"/>
    </row>
    <row r="17" spans="1:15" x14ac:dyDescent="0.2">
      <c r="A17" s="20" t="s">
        <v>26</v>
      </c>
      <c r="B17" s="53"/>
      <c r="C17" s="53"/>
      <c r="D17" s="19" t="s">
        <v>22</v>
      </c>
      <c r="E17" s="56"/>
      <c r="F17" s="56"/>
      <c r="G17" s="20"/>
      <c r="H17" s="20"/>
      <c r="I17" s="20"/>
      <c r="J17" s="20"/>
      <c r="K17" s="20"/>
      <c r="L17" s="20"/>
      <c r="M17" s="20"/>
      <c r="N17" s="20"/>
      <c r="O17" s="20"/>
    </row>
    <row r="18" spans="1:15" x14ac:dyDescent="0.2">
      <c r="A18" s="20" t="s">
        <v>5</v>
      </c>
      <c r="B18" s="54">
        <f>18400.04-10210.423-0.01</f>
        <v>8189.607</v>
      </c>
      <c r="C18" s="54">
        <v>9795.6200000000008</v>
      </c>
      <c r="D18" s="27" t="s">
        <v>23</v>
      </c>
      <c r="E18" s="50">
        <v>20266.5</v>
      </c>
      <c r="F18" s="50">
        <v>20266.5</v>
      </c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2">
      <c r="A19" s="20" t="s">
        <v>6</v>
      </c>
      <c r="B19" s="53"/>
      <c r="C19" s="53"/>
      <c r="D19" s="27" t="s">
        <v>24</v>
      </c>
      <c r="E19" s="56">
        <v>117128.78</v>
      </c>
      <c r="F19" s="56">
        <v>117128.78</v>
      </c>
      <c r="G19" s="20"/>
      <c r="H19" s="20"/>
      <c r="I19" s="20"/>
      <c r="J19" s="20"/>
      <c r="K19" s="20"/>
      <c r="L19" s="20"/>
      <c r="M19" s="20"/>
      <c r="N19" s="20"/>
      <c r="O19" s="20"/>
    </row>
    <row r="20" spans="1:15" x14ac:dyDescent="0.2">
      <c r="A20" s="20" t="s">
        <v>7</v>
      </c>
      <c r="B20" s="53"/>
      <c r="C20" s="53"/>
      <c r="D20" s="27" t="s">
        <v>25</v>
      </c>
      <c r="E20" s="50">
        <f>ContoEconomico!B76</f>
        <v>4856.2799999996714</v>
      </c>
      <c r="F20" s="50">
        <v>0</v>
      </c>
      <c r="G20" s="20"/>
      <c r="H20" s="20"/>
      <c r="I20" s="20"/>
      <c r="J20" s="20"/>
      <c r="K20" s="20"/>
      <c r="L20" s="20"/>
      <c r="M20" s="20"/>
      <c r="N20" s="20"/>
      <c r="O20" s="20"/>
    </row>
    <row r="21" spans="1:15" x14ac:dyDescent="0.2">
      <c r="A21" s="25" t="s">
        <v>8</v>
      </c>
      <c r="B21" s="52">
        <f>SUM(B22:B29)</f>
        <v>1152026.99</v>
      </c>
      <c r="C21" s="52">
        <f>SUM(C22:C29)</f>
        <v>1160873.96</v>
      </c>
      <c r="D21" s="32" t="s">
        <v>27</v>
      </c>
      <c r="E21" s="33">
        <f>E13+E14+E18+E19+E20</f>
        <v>578557.91999999969</v>
      </c>
      <c r="F21" s="33">
        <f>F13+F14+F18+F20+F19</f>
        <v>573701.64</v>
      </c>
      <c r="G21" s="30"/>
      <c r="H21" s="20"/>
      <c r="I21" s="20"/>
      <c r="J21" s="20"/>
      <c r="K21" s="20"/>
      <c r="L21" s="20"/>
      <c r="M21" s="20"/>
      <c r="N21" s="20"/>
      <c r="O21" s="20"/>
    </row>
    <row r="22" spans="1:15" x14ac:dyDescent="0.2">
      <c r="A22" s="20" t="s">
        <v>9</v>
      </c>
      <c r="B22" s="54">
        <f>55342.52+12670.83+24377.91+20266.5</f>
        <v>112657.76</v>
      </c>
      <c r="C22" s="54">
        <v>112657.76</v>
      </c>
      <c r="D22" s="27"/>
      <c r="E22" s="55"/>
      <c r="F22" s="55"/>
      <c r="G22" s="20"/>
      <c r="H22" s="20"/>
      <c r="I22" s="20"/>
      <c r="J22" s="20"/>
      <c r="K22" s="20"/>
      <c r="L22" s="20"/>
      <c r="M22" s="20"/>
      <c r="N22" s="20"/>
      <c r="O22" s="20"/>
    </row>
    <row r="23" spans="1:15" x14ac:dyDescent="0.2">
      <c r="A23" s="20" t="s">
        <v>10</v>
      </c>
      <c r="B23" s="54">
        <f>(1329408.85+50683.33+97511.63)-(498528.32+20526.75+39492.21)-0.01</f>
        <v>919056.52</v>
      </c>
      <c r="C23" s="54">
        <v>963384.64</v>
      </c>
      <c r="D23" s="27" t="s">
        <v>28</v>
      </c>
      <c r="E23" s="55"/>
      <c r="F23" s="55"/>
      <c r="G23" s="20"/>
      <c r="H23" s="20"/>
      <c r="I23" s="20"/>
      <c r="J23" s="20"/>
      <c r="K23" s="20"/>
      <c r="L23" s="20"/>
      <c r="M23" s="20"/>
      <c r="N23" s="20"/>
      <c r="O23" s="20"/>
    </row>
    <row r="24" spans="1:15" x14ac:dyDescent="0.2">
      <c r="A24" s="20" t="s">
        <v>153</v>
      </c>
      <c r="B24" s="54">
        <f>48241.86-3907.41</f>
        <v>44334.45</v>
      </c>
      <c r="C24" s="54">
        <v>0</v>
      </c>
      <c r="D24" s="19" t="s">
        <v>73</v>
      </c>
      <c r="E24" s="56">
        <f>14895.03+1281.42</f>
        <v>16176.45</v>
      </c>
      <c r="F24" s="56">
        <v>14895.03</v>
      </c>
      <c r="G24" s="30"/>
      <c r="H24" s="20"/>
      <c r="I24" s="20"/>
      <c r="J24" s="20"/>
      <c r="K24" s="20"/>
      <c r="L24" s="20"/>
      <c r="M24" s="20"/>
      <c r="N24" s="20"/>
      <c r="O24" s="20"/>
    </row>
    <row r="25" spans="1:15" x14ac:dyDescent="0.2">
      <c r="A25" s="20" t="s">
        <v>156</v>
      </c>
      <c r="B25" s="54">
        <f>82440.88+397.95-49997.92-397.95</f>
        <v>32442.960000000003</v>
      </c>
      <c r="C25" s="54">
        <v>30402.82</v>
      </c>
      <c r="D25" s="19" t="s">
        <v>161</v>
      </c>
      <c r="E25" s="56">
        <v>9406.92</v>
      </c>
      <c r="F25" s="56">
        <v>9406.92</v>
      </c>
      <c r="G25" s="30"/>
      <c r="H25" s="20"/>
      <c r="I25" s="30"/>
      <c r="J25" s="20"/>
      <c r="K25" s="20"/>
      <c r="L25" s="20"/>
      <c r="M25" s="20"/>
      <c r="N25" s="20"/>
      <c r="O25" s="20"/>
    </row>
    <row r="26" spans="1:15" x14ac:dyDescent="0.2">
      <c r="A26" s="20" t="s">
        <v>154</v>
      </c>
      <c r="B26" s="54">
        <f>(57738.23-56549.98)+(74039.92-64603.12)+(18133.85-15258.81)</f>
        <v>13500.089999999995</v>
      </c>
      <c r="C26" s="54">
        <v>15951.5</v>
      </c>
      <c r="D26" s="19" t="s">
        <v>162</v>
      </c>
      <c r="E26" s="56">
        <v>5700</v>
      </c>
      <c r="F26" s="56">
        <v>2700</v>
      </c>
      <c r="I26" s="30"/>
      <c r="J26" s="20"/>
      <c r="K26" s="20"/>
      <c r="L26" s="20"/>
      <c r="M26" s="20"/>
      <c r="N26" s="20"/>
      <c r="O26" s="20"/>
    </row>
    <row r="27" spans="1:15" x14ac:dyDescent="0.2">
      <c r="A27" s="20" t="s">
        <v>155</v>
      </c>
      <c r="B27" s="54">
        <f>5000-4500</f>
        <v>500</v>
      </c>
      <c r="C27" s="54">
        <v>1500</v>
      </c>
      <c r="D27" s="19" t="s">
        <v>29</v>
      </c>
      <c r="E27" s="56">
        <f>F27-1243.67-1732.91+35304.19+8</f>
        <v>76834.149999999994</v>
      </c>
      <c r="F27" s="56">
        <f>39765.4+4741.14-8</f>
        <v>44498.54</v>
      </c>
      <c r="G27" s="20"/>
      <c r="H27" s="20"/>
      <c r="I27" s="20"/>
      <c r="J27" s="20"/>
      <c r="K27" s="20"/>
      <c r="L27" s="20"/>
      <c r="M27" s="20"/>
      <c r="N27" s="20"/>
      <c r="O27" s="20"/>
    </row>
    <row r="28" spans="1:15" x14ac:dyDescent="0.2">
      <c r="A28" s="20" t="s">
        <v>160</v>
      </c>
      <c r="B28" s="54">
        <f>(44904.82-31645.96)+(59983.73-45926.52)+(9838.06-8349.76)+(20267.63-19536.79)</f>
        <v>29535.210000000006</v>
      </c>
      <c r="C28" s="54">
        <v>36977.24</v>
      </c>
      <c r="D28" s="19" t="s">
        <v>30</v>
      </c>
      <c r="E28" s="56"/>
      <c r="F28" s="56"/>
      <c r="G28" s="30"/>
      <c r="H28" s="20"/>
      <c r="I28" s="20"/>
      <c r="J28" s="20"/>
      <c r="K28" s="20"/>
      <c r="L28" s="20"/>
      <c r="M28" s="20"/>
      <c r="N28" s="20"/>
      <c r="O28" s="20"/>
    </row>
    <row r="29" spans="1:15" x14ac:dyDescent="0.2">
      <c r="A29" s="20" t="s">
        <v>11</v>
      </c>
      <c r="B29" s="54"/>
      <c r="C29" s="54"/>
      <c r="D29" s="19" t="s">
        <v>31</v>
      </c>
      <c r="E29" s="56">
        <f>97645.33+16000+34076.45+35718.58+10766.35</f>
        <v>194206.71</v>
      </c>
      <c r="F29" s="56">
        <f>97645.33+32176.1+42126.05</f>
        <v>171947.47999999998</v>
      </c>
      <c r="G29" s="30"/>
      <c r="H29" s="30"/>
      <c r="I29" s="20"/>
      <c r="J29" s="20"/>
      <c r="K29" s="20"/>
      <c r="L29" s="20"/>
      <c r="M29" s="20"/>
      <c r="N29" s="20"/>
      <c r="O29" s="20"/>
    </row>
    <row r="30" spans="1:15" x14ac:dyDescent="0.2">
      <c r="A30" s="25" t="s">
        <v>12</v>
      </c>
      <c r="B30" s="52">
        <f>SUM(B32:B33)</f>
        <v>7660</v>
      </c>
      <c r="C30" s="52">
        <f>SUM(C32:C33)</f>
        <v>7660</v>
      </c>
      <c r="D30" s="32" t="s">
        <v>32</v>
      </c>
      <c r="E30" s="33">
        <f>SUM(E24:E29)</f>
        <v>302324.23</v>
      </c>
      <c r="F30" s="33">
        <f>SUM(F24:F29)</f>
        <v>243447.96999999997</v>
      </c>
      <c r="G30" s="30">
        <v>4741.1400000000003</v>
      </c>
      <c r="H30" s="30" t="s">
        <v>159</v>
      </c>
      <c r="I30" s="30"/>
      <c r="J30" s="20"/>
      <c r="K30" s="20"/>
      <c r="L30" s="20"/>
      <c r="M30" s="20"/>
      <c r="N30" s="20"/>
      <c r="O30" s="20"/>
    </row>
    <row r="31" spans="1:15" ht="25.5" x14ac:dyDescent="0.2">
      <c r="A31" s="29" t="s">
        <v>37</v>
      </c>
      <c r="B31" s="51"/>
      <c r="C31" s="51"/>
      <c r="D31" s="19" t="s">
        <v>33</v>
      </c>
      <c r="E31" s="55"/>
      <c r="F31" s="55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25.5" x14ac:dyDescent="0.2">
      <c r="A32" s="20" t="s">
        <v>14</v>
      </c>
      <c r="B32" s="53"/>
      <c r="C32" s="53"/>
      <c r="D32" s="34" t="s">
        <v>34</v>
      </c>
      <c r="E32" s="35"/>
      <c r="F32" s="35"/>
      <c r="G32" s="20"/>
      <c r="H32" s="20"/>
      <c r="I32" s="20"/>
      <c r="J32" s="20"/>
      <c r="K32" s="20"/>
      <c r="L32" s="20"/>
      <c r="M32" s="20"/>
      <c r="N32" s="20"/>
      <c r="O32" s="20"/>
    </row>
    <row r="33" spans="1:15" x14ac:dyDescent="0.2">
      <c r="A33" s="36" t="s">
        <v>15</v>
      </c>
      <c r="B33" s="53">
        <v>7660</v>
      </c>
      <c r="C33" s="53">
        <v>7660</v>
      </c>
      <c r="E33" s="55"/>
      <c r="F33" s="55"/>
      <c r="G33" s="20"/>
      <c r="H33" s="20"/>
      <c r="I33" s="20"/>
      <c r="J33" s="20"/>
      <c r="K33" s="20"/>
      <c r="L33" s="20"/>
      <c r="M33" s="20"/>
      <c r="N33" s="20"/>
      <c r="O33" s="20"/>
    </row>
    <row r="34" spans="1:15" x14ac:dyDescent="0.2">
      <c r="A34" s="37" t="s">
        <v>16</v>
      </c>
      <c r="B34" s="38">
        <f>B14+B21+B30</f>
        <v>1167876.5970000001</v>
      </c>
      <c r="C34" s="38">
        <f>C14+C21+C30</f>
        <v>1178329.58</v>
      </c>
      <c r="D34" s="27" t="s">
        <v>36</v>
      </c>
      <c r="E34" s="55"/>
      <c r="F34" s="55"/>
      <c r="G34" s="20"/>
      <c r="H34" s="20"/>
      <c r="I34" s="20"/>
      <c r="J34" s="20"/>
      <c r="K34" s="20"/>
      <c r="L34" s="20"/>
      <c r="M34" s="20"/>
      <c r="N34" s="20"/>
      <c r="O34" s="20"/>
    </row>
    <row r="35" spans="1:15" ht="25.5" x14ac:dyDescent="0.2">
      <c r="A35" s="20"/>
      <c r="B35" s="51"/>
      <c r="C35" s="51"/>
      <c r="D35" s="39" t="s">
        <v>38</v>
      </c>
      <c r="E35" s="55"/>
      <c r="F35" s="55"/>
      <c r="G35" s="20"/>
      <c r="H35" s="20"/>
      <c r="I35" s="20"/>
      <c r="J35" s="20"/>
      <c r="K35" s="20"/>
      <c r="L35" s="20"/>
      <c r="M35" s="20"/>
      <c r="N35" s="20"/>
      <c r="O35" s="20"/>
    </row>
    <row r="36" spans="1:15" x14ac:dyDescent="0.2">
      <c r="A36" s="25" t="s">
        <v>35</v>
      </c>
      <c r="B36" s="53"/>
      <c r="C36" s="53"/>
      <c r="D36" s="19" t="s">
        <v>44</v>
      </c>
      <c r="E36" s="56"/>
      <c r="F36" s="56"/>
      <c r="G36" s="20"/>
      <c r="H36" s="20"/>
      <c r="I36" s="20"/>
      <c r="J36" s="20"/>
      <c r="K36" s="20"/>
      <c r="L36" s="20"/>
      <c r="M36" s="20"/>
      <c r="N36" s="20"/>
      <c r="O36" s="20"/>
    </row>
    <row r="37" spans="1:15" x14ac:dyDescent="0.2">
      <c r="A37" s="25" t="s">
        <v>43</v>
      </c>
      <c r="B37" s="51"/>
      <c r="C37" s="51"/>
      <c r="D37" s="19" t="s">
        <v>45</v>
      </c>
      <c r="E37" s="56"/>
      <c r="F37" s="56"/>
      <c r="G37" s="20"/>
      <c r="H37" s="20"/>
      <c r="I37" s="20"/>
      <c r="J37" s="20"/>
      <c r="K37" s="20"/>
      <c r="L37" s="20"/>
      <c r="M37" s="20"/>
      <c r="N37" s="20"/>
      <c r="O37" s="20"/>
    </row>
    <row r="38" spans="1:15" x14ac:dyDescent="0.2">
      <c r="A38" s="20" t="s">
        <v>39</v>
      </c>
      <c r="B38" s="51"/>
      <c r="C38" s="51"/>
      <c r="D38" s="19" t="s">
        <v>46</v>
      </c>
      <c r="E38" s="56"/>
      <c r="F38" s="56"/>
      <c r="G38" s="20"/>
      <c r="H38" s="20"/>
      <c r="I38" s="20"/>
      <c r="J38" s="20"/>
      <c r="K38" s="20"/>
      <c r="L38" s="20"/>
      <c r="M38" s="20"/>
      <c r="N38" s="20"/>
      <c r="O38" s="20"/>
    </row>
    <row r="39" spans="1:15" x14ac:dyDescent="0.2">
      <c r="A39" s="20" t="s">
        <v>40</v>
      </c>
      <c r="B39" s="51"/>
      <c r="C39" s="51"/>
      <c r="D39" s="19" t="s">
        <v>47</v>
      </c>
      <c r="E39" s="56"/>
      <c r="F39" s="56"/>
      <c r="G39" s="20"/>
      <c r="H39" s="20"/>
      <c r="I39" s="20"/>
      <c r="J39" s="20"/>
      <c r="K39" s="20"/>
      <c r="L39" s="20"/>
      <c r="M39" s="20"/>
      <c r="N39" s="20"/>
      <c r="O39" s="20"/>
    </row>
    <row r="40" spans="1:15" x14ac:dyDescent="0.2">
      <c r="A40" s="20" t="s">
        <v>41</v>
      </c>
      <c r="B40" s="51"/>
      <c r="C40" s="51"/>
      <c r="D40" s="19" t="s">
        <v>45</v>
      </c>
      <c r="E40" s="56"/>
      <c r="F40" s="56"/>
      <c r="G40" s="20"/>
      <c r="H40" s="20"/>
      <c r="I40" s="20"/>
      <c r="J40" s="20"/>
      <c r="K40" s="20"/>
      <c r="L40" s="20"/>
      <c r="M40" s="20"/>
      <c r="N40" s="20"/>
      <c r="O40" s="20"/>
    </row>
    <row r="41" spans="1:15" x14ac:dyDescent="0.2">
      <c r="A41" s="25" t="s">
        <v>42</v>
      </c>
      <c r="B41" s="52">
        <f>SUM(B44:B58)</f>
        <v>422265.72</v>
      </c>
      <c r="C41" s="52">
        <f>SUM(C44:C58)</f>
        <v>301504.14</v>
      </c>
      <c r="D41" s="19" t="s">
        <v>46</v>
      </c>
      <c r="E41" s="56"/>
      <c r="F41" s="56"/>
      <c r="G41" s="20"/>
      <c r="H41" s="20"/>
      <c r="I41" s="20"/>
      <c r="J41" s="20"/>
      <c r="K41" s="20"/>
      <c r="L41" s="20"/>
      <c r="M41" s="20"/>
      <c r="N41" s="20"/>
      <c r="O41" s="20"/>
    </row>
    <row r="42" spans="1:15" x14ac:dyDescent="0.2">
      <c r="A42" s="20" t="s">
        <v>49</v>
      </c>
      <c r="B42" s="51"/>
      <c r="C42" s="51"/>
      <c r="D42" s="19" t="s">
        <v>48</v>
      </c>
      <c r="E42" s="56"/>
      <c r="F42" s="56"/>
      <c r="G42" s="20"/>
      <c r="H42" s="20"/>
      <c r="I42" s="20"/>
      <c r="J42" s="20"/>
      <c r="K42" s="20"/>
      <c r="L42" s="20"/>
      <c r="M42" s="20"/>
      <c r="N42" s="20"/>
      <c r="O42" s="20"/>
    </row>
    <row r="43" spans="1:15" x14ac:dyDescent="0.2">
      <c r="A43" s="20" t="s">
        <v>50</v>
      </c>
      <c r="B43" s="51"/>
      <c r="C43" s="51"/>
      <c r="D43" s="19" t="s">
        <v>45</v>
      </c>
      <c r="E43" s="56">
        <v>0</v>
      </c>
      <c r="F43" s="56">
        <v>236.15</v>
      </c>
      <c r="G43" s="20"/>
      <c r="H43" s="30"/>
      <c r="I43" s="20"/>
      <c r="J43" s="20"/>
      <c r="K43" s="20"/>
      <c r="L43" s="20"/>
      <c r="M43" s="20"/>
      <c r="N43" s="20"/>
      <c r="O43" s="20"/>
    </row>
    <row r="44" spans="1:15" x14ac:dyDescent="0.2">
      <c r="A44" s="20" t="s">
        <v>52</v>
      </c>
      <c r="B44" s="51"/>
      <c r="C44" s="51"/>
      <c r="D44" s="19" t="s">
        <v>46</v>
      </c>
      <c r="E44" s="56"/>
      <c r="F44" s="56"/>
      <c r="G44" s="20"/>
      <c r="H44" s="20"/>
      <c r="I44" s="20"/>
      <c r="J44" s="20"/>
      <c r="K44" s="20"/>
      <c r="L44" s="20"/>
      <c r="M44" s="20"/>
      <c r="N44" s="20"/>
      <c r="O44" s="20"/>
    </row>
    <row r="45" spans="1:15" x14ac:dyDescent="0.2">
      <c r="A45" s="20" t="s">
        <v>45</v>
      </c>
      <c r="B45" s="53">
        <f>50651.88+15000+4900</f>
        <v>70551.88</v>
      </c>
      <c r="C45" s="53">
        <v>29250</v>
      </c>
      <c r="D45" s="19" t="s">
        <v>51</v>
      </c>
      <c r="E45" s="56"/>
      <c r="F45" s="56"/>
      <c r="G45" s="20"/>
      <c r="H45" s="30"/>
      <c r="I45" s="20"/>
      <c r="J45" s="20"/>
      <c r="K45" s="20"/>
      <c r="L45" s="20"/>
      <c r="M45" s="20"/>
      <c r="N45" s="20"/>
      <c r="O45" s="20"/>
    </row>
    <row r="46" spans="1:15" x14ac:dyDescent="0.2">
      <c r="A46" s="20" t="s">
        <v>46</v>
      </c>
      <c r="B46" s="53">
        <f>74250+40500</f>
        <v>114750</v>
      </c>
      <c r="C46" s="53">
        <v>85500</v>
      </c>
      <c r="D46" s="19" t="s">
        <v>45</v>
      </c>
      <c r="E46" s="56">
        <f>166855.78</f>
        <v>166855.78</v>
      </c>
      <c r="F46" s="56">
        <v>163644.51999999999</v>
      </c>
      <c r="H46" s="40"/>
      <c r="I46" s="41"/>
    </row>
    <row r="47" spans="1:15" x14ac:dyDescent="0.2">
      <c r="A47" s="20" t="s">
        <v>53</v>
      </c>
      <c r="B47" s="53"/>
      <c r="C47" s="53"/>
      <c r="D47" s="19" t="s">
        <v>46</v>
      </c>
      <c r="E47" s="56">
        <v>38056.9</v>
      </c>
      <c r="F47" s="56"/>
      <c r="H47" s="41"/>
    </row>
    <row r="48" spans="1:15" x14ac:dyDescent="0.2">
      <c r="A48" s="20" t="s">
        <v>45</v>
      </c>
      <c r="B48" s="53">
        <f>58806.62+110000</f>
        <v>168806.62</v>
      </c>
      <c r="C48" s="53">
        <v>92578.22</v>
      </c>
      <c r="D48" s="19" t="s">
        <v>54</v>
      </c>
      <c r="E48" s="56"/>
      <c r="F48" s="56"/>
      <c r="J48" s="41"/>
    </row>
    <row r="49" spans="1:9" x14ac:dyDescent="0.2">
      <c r="A49" s="20" t="s">
        <v>46</v>
      </c>
      <c r="B49" s="53"/>
      <c r="C49" s="53"/>
      <c r="D49" s="19" t="s">
        <v>45</v>
      </c>
      <c r="E49" s="56">
        <f>45.6+5660-1132-1698</f>
        <v>2875.6000000000004</v>
      </c>
      <c r="F49" s="56">
        <v>4743.54</v>
      </c>
    </row>
    <row r="50" spans="1:9" x14ac:dyDescent="0.2">
      <c r="A50" s="20" t="s">
        <v>55</v>
      </c>
      <c r="B50" s="53"/>
      <c r="C50" s="53"/>
      <c r="D50" s="19" t="s">
        <v>46</v>
      </c>
      <c r="E50" s="56"/>
      <c r="F50" s="56"/>
    </row>
    <row r="51" spans="1:9" x14ac:dyDescent="0.2">
      <c r="A51" s="20" t="s">
        <v>157</v>
      </c>
      <c r="B51" s="53">
        <f>43764.09+115309.72-110000</f>
        <v>49073.81</v>
      </c>
      <c r="C51" s="53">
        <f>40727.84+40008.71</f>
        <v>80736.549999999988</v>
      </c>
      <c r="D51" s="19" t="s">
        <v>72</v>
      </c>
      <c r="E51" s="56"/>
      <c r="F51" s="56"/>
      <c r="H51" s="40"/>
    </row>
    <row r="52" spans="1:9" x14ac:dyDescent="0.2">
      <c r="A52" s="20" t="s">
        <v>46</v>
      </c>
      <c r="B52" s="53">
        <v>0</v>
      </c>
      <c r="C52" s="53"/>
      <c r="D52" s="19" t="s">
        <v>45</v>
      </c>
      <c r="E52" s="56">
        <f>391.17</f>
        <v>391.17</v>
      </c>
      <c r="F52" s="56">
        <v>0</v>
      </c>
      <c r="H52" s="41"/>
      <c r="I52" s="41"/>
    </row>
    <row r="53" spans="1:9" x14ac:dyDescent="0.2">
      <c r="A53" s="20" t="s">
        <v>56</v>
      </c>
      <c r="B53" s="53"/>
      <c r="C53" s="53"/>
      <c r="D53" s="19" t="s">
        <v>46</v>
      </c>
      <c r="E53" s="56"/>
      <c r="F53" s="56"/>
    </row>
    <row r="54" spans="1:9" x14ac:dyDescent="0.2">
      <c r="A54" s="20" t="s">
        <v>45</v>
      </c>
      <c r="B54" s="53">
        <v>17404.29</v>
      </c>
      <c r="C54" s="53">
        <v>5355.29</v>
      </c>
      <c r="D54" s="19" t="s">
        <v>58</v>
      </c>
      <c r="E54" s="56"/>
      <c r="F54" s="56"/>
    </row>
    <row r="55" spans="1:9" x14ac:dyDescent="0.2">
      <c r="A55" s="20" t="s">
        <v>46</v>
      </c>
      <c r="B55" s="53"/>
      <c r="C55" s="53"/>
      <c r="D55" s="19" t="s">
        <v>45</v>
      </c>
      <c r="E55" s="56">
        <v>819.92</v>
      </c>
      <c r="F55" s="56">
        <v>4662.3999999999996</v>
      </c>
    </row>
    <row r="56" spans="1:9" x14ac:dyDescent="0.2">
      <c r="A56" s="20" t="s">
        <v>57</v>
      </c>
      <c r="B56" s="53"/>
      <c r="C56" s="53"/>
      <c r="D56" s="19" t="s">
        <v>46</v>
      </c>
      <c r="E56" s="56"/>
      <c r="F56" s="56"/>
    </row>
    <row r="57" spans="1:9" x14ac:dyDescent="0.2">
      <c r="A57" s="20" t="s">
        <v>45</v>
      </c>
      <c r="B57" s="53">
        <v>1251.6400000000001</v>
      </c>
      <c r="C57" s="53">
        <f>72.67+132.41+7879</f>
        <v>8084.08</v>
      </c>
      <c r="D57" s="32" t="s">
        <v>66</v>
      </c>
      <c r="E57" s="33">
        <f>SUM(E36:E56)</f>
        <v>208999.37000000002</v>
      </c>
      <c r="F57" s="33">
        <f>SUM(F36:F56)</f>
        <v>173286.61</v>
      </c>
    </row>
    <row r="58" spans="1:9" x14ac:dyDescent="0.2">
      <c r="A58" s="20" t="s">
        <v>46</v>
      </c>
      <c r="B58" s="53">
        <v>427.48</v>
      </c>
      <c r="C58" s="53"/>
      <c r="E58" s="55"/>
      <c r="F58" s="55"/>
    </row>
    <row r="59" spans="1:9" x14ac:dyDescent="0.2">
      <c r="A59" s="25" t="s">
        <v>59</v>
      </c>
      <c r="B59" s="51"/>
      <c r="C59" s="51"/>
      <c r="E59" s="55"/>
      <c r="F59" s="55"/>
    </row>
    <row r="60" spans="1:9" x14ac:dyDescent="0.2">
      <c r="A60" s="20" t="s">
        <v>60</v>
      </c>
      <c r="B60" s="51"/>
      <c r="C60" s="51"/>
      <c r="E60" s="55"/>
      <c r="F60" s="55"/>
    </row>
    <row r="61" spans="1:9" x14ac:dyDescent="0.2">
      <c r="A61" s="25" t="s">
        <v>61</v>
      </c>
      <c r="B61" s="52">
        <f>SUM(B62:B64)</f>
        <v>589320.10999999987</v>
      </c>
      <c r="C61" s="52">
        <f>SUM(C62:C64)</f>
        <v>727153.33</v>
      </c>
      <c r="E61" s="55"/>
      <c r="F61" s="55"/>
    </row>
    <row r="62" spans="1:9" x14ac:dyDescent="0.2">
      <c r="A62" s="20" t="s">
        <v>62</v>
      </c>
      <c r="B62" s="53">
        <v>3424.83</v>
      </c>
      <c r="C62" s="53">
        <v>2071.9899999999998</v>
      </c>
      <c r="E62" s="55"/>
      <c r="F62" s="55"/>
    </row>
    <row r="63" spans="1:9" x14ac:dyDescent="0.2">
      <c r="A63" s="20" t="s">
        <v>63</v>
      </c>
      <c r="B63" s="53">
        <v>585430.57999999996</v>
      </c>
      <c r="C63" s="53">
        <v>724546.38</v>
      </c>
      <c r="E63" s="55"/>
      <c r="F63" s="55"/>
    </row>
    <row r="64" spans="1:9" x14ac:dyDescent="0.2">
      <c r="A64" s="20" t="s">
        <v>64</v>
      </c>
      <c r="B64" s="53">
        <v>464.7</v>
      </c>
      <c r="C64" s="53">
        <v>534.96</v>
      </c>
      <c r="E64" s="55"/>
      <c r="F64" s="55"/>
    </row>
    <row r="65" spans="1:7" x14ac:dyDescent="0.2">
      <c r="A65" s="37" t="s">
        <v>65</v>
      </c>
      <c r="B65" s="38">
        <f>B37+B41+B59+B61</f>
        <v>1011585.8299999998</v>
      </c>
      <c r="C65" s="38">
        <f>C37+C41+C59+C61</f>
        <v>1028657.47</v>
      </c>
      <c r="E65" s="55"/>
      <c r="F65" s="55"/>
    </row>
    <row r="66" spans="1:7" x14ac:dyDescent="0.2">
      <c r="A66" s="20"/>
      <c r="B66" s="51"/>
      <c r="C66" s="51"/>
      <c r="D66" s="20"/>
      <c r="E66" s="55"/>
      <c r="F66" s="55"/>
    </row>
    <row r="67" spans="1:7" x14ac:dyDescent="0.2">
      <c r="A67" s="42" t="s">
        <v>67</v>
      </c>
      <c r="B67" s="58"/>
      <c r="C67" s="58"/>
      <c r="D67" s="42" t="s">
        <v>68</v>
      </c>
      <c r="E67" s="57"/>
      <c r="F67" s="57"/>
    </row>
    <row r="68" spans="1:7" x14ac:dyDescent="0.2">
      <c r="A68" s="43" t="s">
        <v>77</v>
      </c>
      <c r="B68" s="58"/>
      <c r="C68" s="58"/>
      <c r="D68" s="43" t="s">
        <v>79</v>
      </c>
      <c r="E68" s="56">
        <v>5531.39</v>
      </c>
      <c r="F68" s="56">
        <v>3969.69</v>
      </c>
    </row>
    <row r="69" spans="1:7" x14ac:dyDescent="0.2">
      <c r="A69" s="43" t="s">
        <v>78</v>
      </c>
      <c r="B69" s="53">
        <v>19287.77</v>
      </c>
      <c r="C69" s="53">
        <v>4641.97</v>
      </c>
      <c r="D69" s="43" t="s">
        <v>80</v>
      </c>
      <c r="E69" s="56">
        <v>1103337.29</v>
      </c>
      <c r="F69" s="56">
        <v>1217215.1100000001</v>
      </c>
    </row>
    <row r="70" spans="1:7" x14ac:dyDescent="0.2">
      <c r="A70" s="25" t="s">
        <v>76</v>
      </c>
      <c r="B70" s="58">
        <f>SUM(B68:B69)</f>
        <v>19287.77</v>
      </c>
      <c r="C70" s="58">
        <f>SUM(C68:C69)</f>
        <v>4641.97</v>
      </c>
      <c r="D70" s="25" t="s">
        <v>75</v>
      </c>
      <c r="E70" s="57">
        <f>SUM(E68:E69)</f>
        <v>1108868.68</v>
      </c>
      <c r="F70" s="57">
        <f>SUM(F68:F69)</f>
        <v>1221184.8</v>
      </c>
      <c r="G70" s="20"/>
    </row>
    <row r="71" spans="1:7" x14ac:dyDescent="0.2">
      <c r="A71" s="25"/>
      <c r="B71" s="51"/>
      <c r="C71" s="51"/>
      <c r="D71" s="25"/>
      <c r="E71" s="55"/>
      <c r="F71" s="55"/>
      <c r="G71" s="20"/>
    </row>
    <row r="72" spans="1:7" x14ac:dyDescent="0.2">
      <c r="A72" s="37" t="s">
        <v>69</v>
      </c>
      <c r="B72" s="38">
        <f>B34+B65+B70</f>
        <v>2198750.1970000002</v>
      </c>
      <c r="C72" s="44">
        <f>C34+C65+C70</f>
        <v>2211629.02</v>
      </c>
      <c r="D72" s="32" t="s">
        <v>70</v>
      </c>
      <c r="E72" s="33">
        <f>E21+E30+E32+E57+E70</f>
        <v>2198750.1999999997</v>
      </c>
      <c r="F72" s="33">
        <f>F21+F30+F32+F57+F70</f>
        <v>2211621.02</v>
      </c>
    </row>
    <row r="73" spans="1:7" ht="21" hidden="1" x14ac:dyDescent="0.35">
      <c r="A73" s="20"/>
      <c r="B73" s="26"/>
      <c r="C73" s="26"/>
      <c r="E73" s="31">
        <f>B72-E72</f>
        <v>-2.9999995604157448E-3</v>
      </c>
      <c r="F73" s="28"/>
    </row>
    <row r="74" spans="1:7" x14ac:dyDescent="0.2">
      <c r="A74" s="37" t="s">
        <v>71</v>
      </c>
      <c r="B74" s="38">
        <v>10324.31</v>
      </c>
      <c r="C74" s="38">
        <v>10324.31</v>
      </c>
      <c r="D74" s="32" t="s">
        <v>71</v>
      </c>
      <c r="E74" s="33">
        <v>10324.31</v>
      </c>
      <c r="F74" s="33">
        <v>10324.31</v>
      </c>
    </row>
    <row r="75" spans="1:7" x14ac:dyDescent="0.2">
      <c r="B75" s="20"/>
      <c r="C75" s="20"/>
      <c r="E75" s="41"/>
    </row>
    <row r="76" spans="1:7" x14ac:dyDescent="0.2">
      <c r="B76" s="20"/>
      <c r="C76" s="20"/>
    </row>
    <row r="77" spans="1:7" x14ac:dyDescent="0.2">
      <c r="B77" s="20"/>
      <c r="C77" s="20"/>
    </row>
    <row r="78" spans="1:7" x14ac:dyDescent="0.2">
      <c r="A78" s="20"/>
      <c r="B78" s="30"/>
      <c r="C78" s="20"/>
      <c r="D78" s="20"/>
    </row>
    <row r="79" spans="1:7" x14ac:dyDescent="0.2">
      <c r="A79" s="20"/>
      <c r="B79" s="20"/>
      <c r="C79" s="20"/>
      <c r="D79" s="20"/>
    </row>
    <row r="80" spans="1:7" x14ac:dyDescent="0.2">
      <c r="A80" s="20"/>
      <c r="B80" s="20"/>
      <c r="C80" s="20"/>
      <c r="D80" s="20"/>
    </row>
    <row r="81" spans="1:4" x14ac:dyDescent="0.2">
      <c r="A81" s="20"/>
      <c r="B81" s="20"/>
      <c r="C81" s="20"/>
      <c r="D81" s="20"/>
    </row>
    <row r="82" spans="1:4" x14ac:dyDescent="0.2">
      <c r="A82" s="20"/>
      <c r="B82" s="20"/>
      <c r="C82" s="20"/>
      <c r="D82" s="20"/>
    </row>
    <row r="83" spans="1:4" x14ac:dyDescent="0.2">
      <c r="A83" s="20"/>
      <c r="B83" s="20"/>
      <c r="C83" s="20"/>
      <c r="D83" s="20"/>
    </row>
    <row r="84" spans="1:4" x14ac:dyDescent="0.2">
      <c r="A84" s="20"/>
      <c r="B84" s="20"/>
      <c r="C84" s="20"/>
      <c r="D84" s="20"/>
    </row>
    <row r="85" spans="1:4" x14ac:dyDescent="0.2">
      <c r="A85" s="20"/>
      <c r="B85" s="20"/>
      <c r="C85" s="20"/>
      <c r="D85" s="20"/>
    </row>
    <row r="86" spans="1:4" x14ac:dyDescent="0.2">
      <c r="A86" s="20"/>
      <c r="B86" s="20"/>
      <c r="C86" s="20"/>
      <c r="D86" s="20"/>
    </row>
    <row r="87" spans="1:4" x14ac:dyDescent="0.2">
      <c r="A87" s="20"/>
      <c r="B87" s="20"/>
      <c r="C87" s="20"/>
      <c r="D87" s="20"/>
    </row>
    <row r="88" spans="1:4" x14ac:dyDescent="0.2">
      <c r="A88" s="20"/>
      <c r="B88" s="20"/>
      <c r="C88" s="20"/>
      <c r="D88" s="20"/>
    </row>
    <row r="89" spans="1:4" x14ac:dyDescent="0.2">
      <c r="A89" s="20"/>
      <c r="B89" s="20"/>
      <c r="C89" s="20"/>
      <c r="D89" s="20"/>
    </row>
    <row r="90" spans="1:4" x14ac:dyDescent="0.2">
      <c r="A90" s="20"/>
      <c r="B90" s="20"/>
      <c r="C90" s="20"/>
      <c r="D90" s="20"/>
    </row>
    <row r="91" spans="1:4" x14ac:dyDescent="0.2">
      <c r="A91" s="20"/>
      <c r="B91" s="20"/>
      <c r="C91" s="20"/>
      <c r="D91" s="20"/>
    </row>
    <row r="92" spans="1:4" x14ac:dyDescent="0.2">
      <c r="A92" s="20"/>
      <c r="B92" s="20"/>
      <c r="C92" s="20"/>
      <c r="D92" s="20"/>
    </row>
    <row r="93" spans="1:4" x14ac:dyDescent="0.2">
      <c r="A93" s="20"/>
      <c r="B93" s="20"/>
      <c r="C93" s="20"/>
      <c r="D93" s="20"/>
    </row>
    <row r="94" spans="1:4" x14ac:dyDescent="0.2">
      <c r="A94" s="20"/>
      <c r="B94" s="20"/>
      <c r="C94" s="20"/>
      <c r="D94" s="20"/>
    </row>
    <row r="95" spans="1:4" x14ac:dyDescent="0.2">
      <c r="A95" s="20"/>
      <c r="B95" s="20"/>
      <c r="C95" s="20"/>
      <c r="D95" s="20"/>
    </row>
    <row r="96" spans="1:4" x14ac:dyDescent="0.2">
      <c r="A96" s="20"/>
      <c r="B96" s="20"/>
      <c r="C96" s="20"/>
      <c r="D96" s="20"/>
    </row>
    <row r="97" spans="1:4" x14ac:dyDescent="0.2">
      <c r="A97" s="20"/>
      <c r="B97" s="20"/>
      <c r="C97" s="20"/>
      <c r="D97" s="20"/>
    </row>
    <row r="98" spans="1:4" x14ac:dyDescent="0.2">
      <c r="C98" s="20"/>
    </row>
    <row r="99" spans="1:4" x14ac:dyDescent="0.2">
      <c r="C99" s="20"/>
    </row>
    <row r="100" spans="1:4" x14ac:dyDescent="0.2">
      <c r="C100" s="20"/>
    </row>
    <row r="101" spans="1:4" x14ac:dyDescent="0.2">
      <c r="C101" s="20"/>
    </row>
    <row r="102" spans="1:4" x14ac:dyDescent="0.2">
      <c r="C102" s="20"/>
    </row>
    <row r="103" spans="1:4" x14ac:dyDescent="0.2">
      <c r="C103" s="20"/>
    </row>
    <row r="104" spans="1:4" x14ac:dyDescent="0.2">
      <c r="C104" s="20"/>
    </row>
    <row r="105" spans="1:4" x14ac:dyDescent="0.2">
      <c r="C105" s="20"/>
    </row>
    <row r="106" spans="1:4" x14ac:dyDescent="0.2">
      <c r="C106" s="20"/>
    </row>
    <row r="107" spans="1:4" x14ac:dyDescent="0.2">
      <c r="C107" s="20"/>
    </row>
    <row r="108" spans="1:4" x14ac:dyDescent="0.2">
      <c r="C108" s="20"/>
    </row>
    <row r="109" spans="1:4" x14ac:dyDescent="0.2">
      <c r="C109" s="20"/>
    </row>
    <row r="110" spans="1:4" x14ac:dyDescent="0.2">
      <c r="C110" s="20"/>
    </row>
    <row r="111" spans="1:4" x14ac:dyDescent="0.2">
      <c r="C111" s="20"/>
    </row>
    <row r="112" spans="1:4" x14ac:dyDescent="0.2">
      <c r="C112" s="20"/>
    </row>
    <row r="113" spans="3:3" x14ac:dyDescent="0.2">
      <c r="C113" s="20"/>
    </row>
  </sheetData>
  <mergeCells count="6">
    <mergeCell ref="A9:F10"/>
    <mergeCell ref="A1:F1"/>
    <mergeCell ref="A3:F3"/>
    <mergeCell ref="A2:F2"/>
    <mergeCell ref="A6:F6"/>
    <mergeCell ref="A7:F7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zoomScale="120" zoomScaleNormal="120" workbookViewId="0">
      <selection activeCell="A76" sqref="A1:C76"/>
    </sheetView>
  </sheetViews>
  <sheetFormatPr defaultRowHeight="15" customHeight="1" x14ac:dyDescent="0.2"/>
  <cols>
    <col min="1" max="1" width="60.140625" style="20" customWidth="1"/>
    <col min="2" max="3" width="20.7109375" style="20" customWidth="1"/>
    <col min="4" max="5" width="9.85546875" style="20" bestFit="1" customWidth="1"/>
    <col min="6" max="16384" width="9.140625" style="20"/>
  </cols>
  <sheetData>
    <row r="1" spans="1:16" ht="15" customHeight="1" x14ac:dyDescent="0.2">
      <c r="A1" s="60" t="s">
        <v>83</v>
      </c>
      <c r="B1" s="60"/>
      <c r="C1" s="60"/>
      <c r="D1" s="6"/>
      <c r="E1" s="13"/>
      <c r="F1" s="13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15" customHeight="1" x14ac:dyDescent="0.2">
      <c r="A2" s="61" t="s">
        <v>81</v>
      </c>
      <c r="B2" s="61"/>
      <c r="C2" s="61"/>
      <c r="D2" s="46"/>
      <c r="E2" s="47"/>
      <c r="F2" s="47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5" customHeight="1" x14ac:dyDescent="0.2">
      <c r="A3" s="61" t="s">
        <v>82</v>
      </c>
      <c r="B3" s="61"/>
      <c r="C3" s="61"/>
      <c r="D3" s="46"/>
      <c r="E3" s="47"/>
      <c r="F3" s="47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15" customHeight="1" x14ac:dyDescent="0.2">
      <c r="A4" s="21"/>
      <c r="B4" s="21"/>
      <c r="C4" s="21"/>
      <c r="D4" s="46"/>
      <c r="E4" s="47"/>
      <c r="F4" s="47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5" customHeight="1" x14ac:dyDescent="0.2">
      <c r="D5" s="48"/>
      <c r="E5" s="49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5" customHeight="1" x14ac:dyDescent="0.2">
      <c r="A6" s="59" t="s">
        <v>150</v>
      </c>
      <c r="B6" s="59"/>
      <c r="C6" s="59"/>
      <c r="D6" s="5"/>
      <c r="E6" s="14"/>
      <c r="F6" s="14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">
      <c r="A7" s="63" t="s">
        <v>84</v>
      </c>
      <c r="B7" s="63"/>
      <c r="C7" s="63"/>
      <c r="D7" s="5"/>
      <c r="E7" s="14"/>
      <c r="F7" s="14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6" ht="15" customHeight="1" x14ac:dyDescent="0.2"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30" customHeight="1" x14ac:dyDescent="0.2">
      <c r="A9" s="62" t="s">
        <v>151</v>
      </c>
      <c r="B9" s="62"/>
      <c r="C9" s="62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ht="15" customHeight="1" x14ac:dyDescent="0.2">
      <c r="A10" s="15"/>
      <c r="B10" s="16">
        <v>42369</v>
      </c>
      <c r="C10" s="16">
        <v>42004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15" customHeight="1" x14ac:dyDescent="0.2">
      <c r="A11" s="3" t="s">
        <v>85</v>
      </c>
      <c r="B11" s="7"/>
      <c r="C11" s="7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16" ht="15" customHeight="1" x14ac:dyDescent="0.2">
      <c r="A12" s="1" t="s">
        <v>86</v>
      </c>
      <c r="B12" s="8">
        <f>B13+B14</f>
        <v>461392.73</v>
      </c>
      <c r="C12" s="8">
        <f>C13+C14</f>
        <v>479126.23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</row>
    <row r="13" spans="1:16" ht="15" customHeight="1" x14ac:dyDescent="0.2">
      <c r="A13" s="2" t="s">
        <v>87</v>
      </c>
      <c r="B13" s="9">
        <v>14364.35</v>
      </c>
      <c r="C13" s="9">
        <f>7564.91+606+2657.22</f>
        <v>10828.13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6" ht="15" customHeight="1" x14ac:dyDescent="0.2">
      <c r="A14" s="2" t="s">
        <v>88</v>
      </c>
      <c r="B14" s="9">
        <v>447028.38</v>
      </c>
      <c r="C14" s="9">
        <f>333577.8+91361.62+38744.99+4613.69</f>
        <v>468298.1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1:16" ht="15" customHeight="1" x14ac:dyDescent="0.2">
      <c r="A15" s="3" t="s">
        <v>89</v>
      </c>
      <c r="B15" s="10">
        <v>0</v>
      </c>
      <c r="C15" s="10">
        <v>0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1:16" ht="15" customHeight="1" x14ac:dyDescent="0.2">
      <c r="A16" s="3" t="s">
        <v>90</v>
      </c>
      <c r="B16" s="10">
        <v>0</v>
      </c>
      <c r="C16" s="10">
        <v>0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1:16" ht="15" customHeight="1" x14ac:dyDescent="0.2">
      <c r="A17" s="3" t="s">
        <v>91</v>
      </c>
      <c r="B17" s="10">
        <v>0</v>
      </c>
      <c r="C17" s="10">
        <v>0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</row>
    <row r="18" spans="1:16" ht="15" customHeight="1" x14ac:dyDescent="0.2">
      <c r="A18" s="3" t="s">
        <v>92</v>
      </c>
      <c r="B18" s="10">
        <f>SUM(B19:B23)</f>
        <v>1736678.8199999998</v>
      </c>
      <c r="C18" s="10">
        <f>SUM(C19:C23)</f>
        <v>1736097.24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</row>
    <row r="19" spans="1:16" ht="15" customHeight="1" x14ac:dyDescent="0.2">
      <c r="A19" s="2" t="s">
        <v>93</v>
      </c>
      <c r="B19" s="11">
        <f>1270833.32+4552.5+4900+6500+8000+15000+28486.14</f>
        <v>1338271.96</v>
      </c>
      <c r="C19" s="11">
        <f>1277500+897.5+8414.97+5907.8+1748.41+17400+32504.22</f>
        <v>1344372.9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</row>
    <row r="20" spans="1:16" ht="15" customHeight="1" x14ac:dyDescent="0.2">
      <c r="A20" s="2" t="s">
        <v>94</v>
      </c>
      <c r="B20" s="9">
        <f>81000+204814.74+6250</f>
        <v>292064.74</v>
      </c>
      <c r="C20" s="9">
        <f>81000+9129.3+206064.74+15377.7</f>
        <v>311571.74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</row>
    <row r="21" spans="1:16" ht="15" customHeight="1" x14ac:dyDescent="0.2">
      <c r="A21" s="2" t="s">
        <v>158</v>
      </c>
      <c r="B21" s="9">
        <f>8958.89+10000+1000</f>
        <v>19958.89</v>
      </c>
      <c r="C21" s="9">
        <f>10000</f>
        <v>10000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ht="15" customHeight="1" x14ac:dyDescent="0.2">
      <c r="A22" s="2" t="s">
        <v>95</v>
      </c>
      <c r="B22" s="9">
        <f>1872.88+830.07+1869.89+69365.68</f>
        <v>73938.51999999999</v>
      </c>
      <c r="C22" s="9">
        <v>68204.990000000005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</row>
    <row r="23" spans="1:16" ht="15" customHeight="1" x14ac:dyDescent="0.2">
      <c r="A23" s="2" t="s">
        <v>96</v>
      </c>
      <c r="B23" s="9">
        <f>6630.62+5814.09</f>
        <v>12444.71</v>
      </c>
      <c r="C23" s="9">
        <f>333.09+318.23+1296.29</f>
        <v>1947.61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  <row r="24" spans="1:16" ht="15" customHeight="1" x14ac:dyDescent="0.2">
      <c r="A24" s="3" t="s">
        <v>97</v>
      </c>
      <c r="B24" s="10">
        <f>B12+B15+B16+B17+B18</f>
        <v>2198071.5499999998</v>
      </c>
      <c r="C24" s="10">
        <f>C12+C15+C16+C17+C18</f>
        <v>2215223.4699999997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16" ht="15" customHeight="1" x14ac:dyDescent="0.2">
      <c r="A25" s="3" t="s">
        <v>149</v>
      </c>
      <c r="B25" s="10"/>
      <c r="C25" s="10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6" ht="15" customHeight="1" x14ac:dyDescent="0.2">
      <c r="A26" s="3" t="s">
        <v>98</v>
      </c>
      <c r="B26" s="8">
        <v>25929.58</v>
      </c>
      <c r="C26" s="8">
        <v>29428.87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6" ht="15" customHeight="1" x14ac:dyDescent="0.2">
      <c r="A27" s="3" t="s">
        <v>99</v>
      </c>
      <c r="B27" s="10">
        <f>B28+B29</f>
        <v>826247.8899999999</v>
      </c>
      <c r="C27" s="10">
        <f>C28+C29</f>
        <v>584768.96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</row>
    <row r="28" spans="1:16" ht="15" customHeight="1" x14ac:dyDescent="0.2">
      <c r="A28" s="2" t="s">
        <v>100</v>
      </c>
      <c r="B28" s="9">
        <f>89262.02+23758.67+1303</f>
        <v>114323.69</v>
      </c>
      <c r="C28" s="9">
        <f>57989.75</f>
        <v>57989.75</v>
      </c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</row>
    <row r="29" spans="1:16" ht="15" customHeight="1" x14ac:dyDescent="0.2">
      <c r="A29" s="2" t="s">
        <v>101</v>
      </c>
      <c r="B29" s="11">
        <f>331613.7+373573.99+4484.33+2252.18</f>
        <v>711924.2</v>
      </c>
      <c r="C29" s="11">
        <v>526779.21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</row>
    <row r="30" spans="1:16" ht="15" customHeight="1" x14ac:dyDescent="0.2">
      <c r="A30" s="3" t="s">
        <v>102</v>
      </c>
      <c r="B30" s="10">
        <v>63468.44</v>
      </c>
      <c r="C30" s="10">
        <v>53116.09</v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</row>
    <row r="31" spans="1:16" ht="15" customHeight="1" x14ac:dyDescent="0.2">
      <c r="A31" s="3" t="s">
        <v>103</v>
      </c>
      <c r="B31" s="10">
        <f>SUM(B32:B36)</f>
        <v>882772.51</v>
      </c>
      <c r="C31" s="10">
        <f>SUM(C32:C36)-0.4</f>
        <v>896353.62000000011</v>
      </c>
      <c r="D31" s="30"/>
      <c r="E31" s="30"/>
      <c r="F31" s="45"/>
      <c r="G31" s="30"/>
      <c r="H31" s="45"/>
      <c r="I31" s="45"/>
      <c r="J31" s="45"/>
      <c r="K31" s="45"/>
      <c r="L31" s="45"/>
      <c r="M31" s="45"/>
      <c r="N31" s="45"/>
      <c r="O31" s="45"/>
      <c r="P31" s="45"/>
    </row>
    <row r="32" spans="1:16" ht="15" customHeight="1" x14ac:dyDescent="0.2">
      <c r="A32" s="2" t="s">
        <v>104</v>
      </c>
      <c r="B32" s="9">
        <v>688513.36</v>
      </c>
      <c r="C32" s="9">
        <f>135762.27+465852.1+71687.42+23271.02+3200.42</f>
        <v>699773.2300000001</v>
      </c>
      <c r="D32" s="30"/>
      <c r="E32" s="30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</row>
    <row r="33" spans="1:16" ht="15" customHeight="1" x14ac:dyDescent="0.2">
      <c r="A33" s="2" t="s">
        <v>105</v>
      </c>
      <c r="B33" s="9">
        <f>196511.33-2252.18</f>
        <v>194259.15</v>
      </c>
      <c r="C33" s="9">
        <f>38621.75+147380.84+8641.64</f>
        <v>194644.22999999998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</row>
    <row r="34" spans="1:16" ht="15" customHeight="1" x14ac:dyDescent="0.2">
      <c r="A34" s="2" t="s">
        <v>106</v>
      </c>
      <c r="B34" s="9">
        <v>0</v>
      </c>
      <c r="C34" s="9">
        <v>0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</row>
    <row r="35" spans="1:16" ht="15" customHeight="1" x14ac:dyDescent="0.2">
      <c r="A35" s="2" t="s">
        <v>107</v>
      </c>
      <c r="B35" s="9">
        <v>0</v>
      </c>
      <c r="C35" s="9">
        <v>0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</row>
    <row r="36" spans="1:16" ht="15" customHeight="1" x14ac:dyDescent="0.2">
      <c r="A36" s="2" t="s">
        <v>108</v>
      </c>
      <c r="B36" s="9">
        <v>0</v>
      </c>
      <c r="C36" s="9">
        <f>1669.92+266.64</f>
        <v>1936.56</v>
      </c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</row>
    <row r="37" spans="1:16" ht="15" customHeight="1" x14ac:dyDescent="0.2">
      <c r="A37" s="3" t="s">
        <v>109</v>
      </c>
      <c r="B37" s="10">
        <f>B38+B39</f>
        <v>76700.98</v>
      </c>
      <c r="C37" s="10">
        <f>C38+C39</f>
        <v>68402.16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</row>
    <row r="38" spans="1:16" ht="15" customHeight="1" x14ac:dyDescent="0.2">
      <c r="A38" s="2" t="s">
        <v>110</v>
      </c>
      <c r="B38" s="9">
        <v>3680.01</v>
      </c>
      <c r="C38" s="9">
        <v>3265.21</v>
      </c>
      <c r="D38" s="48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</row>
    <row r="39" spans="1:16" ht="15" customHeight="1" x14ac:dyDescent="0.2">
      <c r="A39" s="2" t="s">
        <v>111</v>
      </c>
      <c r="B39" s="9">
        <v>73020.97</v>
      </c>
      <c r="C39" s="9">
        <v>65136.95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6" ht="15" customHeight="1" x14ac:dyDescent="0.2">
      <c r="A40" s="3" t="s">
        <v>112</v>
      </c>
      <c r="B40" s="10">
        <v>0</v>
      </c>
      <c r="C40" s="10">
        <v>0</v>
      </c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</row>
    <row r="41" spans="1:16" ht="15" customHeight="1" x14ac:dyDescent="0.2">
      <c r="A41" s="3" t="s">
        <v>113</v>
      </c>
      <c r="B41" s="10">
        <f>SUM(B42:B47)</f>
        <v>84789.119999999995</v>
      </c>
      <c r="C41" s="10">
        <f>SUM(C42:C47)</f>
        <v>115361.68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</row>
    <row r="42" spans="1:16" ht="15" customHeight="1" x14ac:dyDescent="0.2">
      <c r="A42" s="2" t="s">
        <v>114</v>
      </c>
      <c r="B42" s="9">
        <v>0</v>
      </c>
      <c r="C42" s="9">
        <v>3159.33</v>
      </c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</row>
    <row r="43" spans="1:16" ht="15" customHeight="1" x14ac:dyDescent="0.2">
      <c r="A43" s="2" t="s">
        <v>115</v>
      </c>
      <c r="B43" s="9">
        <v>3000</v>
      </c>
      <c r="C43" s="9">
        <f>9406.92+2700</f>
        <v>12106.92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</row>
    <row r="44" spans="1:16" ht="15" customHeight="1" x14ac:dyDescent="0.2">
      <c r="A44" s="2" t="s">
        <v>116</v>
      </c>
      <c r="B44" s="9">
        <v>35304.19</v>
      </c>
      <c r="C44" s="9">
        <f>39765.4</f>
        <v>39765.4</v>
      </c>
      <c r="D44" s="30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</row>
    <row r="45" spans="1:16" ht="15" customHeight="1" x14ac:dyDescent="0.2">
      <c r="A45" s="2" t="s">
        <v>117</v>
      </c>
      <c r="B45" s="9">
        <v>10766.35</v>
      </c>
      <c r="C45" s="9">
        <v>32176.1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15" customHeight="1" x14ac:dyDescent="0.2">
      <c r="A46" s="2" t="s">
        <v>118</v>
      </c>
      <c r="B46" s="9">
        <v>35718.58</v>
      </c>
      <c r="C46" s="9">
        <v>28153.93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5" customHeight="1" x14ac:dyDescent="0.2">
      <c r="A47" s="2" t="s">
        <v>119</v>
      </c>
      <c r="B47" s="9">
        <v>0</v>
      </c>
      <c r="C47" s="9">
        <v>0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</row>
    <row r="48" spans="1:16" ht="15" customHeight="1" x14ac:dyDescent="0.2">
      <c r="A48" s="3" t="s">
        <v>120</v>
      </c>
      <c r="B48" s="10">
        <f>16000</f>
        <v>16000</v>
      </c>
      <c r="C48" s="10">
        <f>16000</f>
        <v>16000</v>
      </c>
      <c r="D48" s="30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</row>
    <row r="49" spans="1:16" ht="15" customHeight="1" x14ac:dyDescent="0.2">
      <c r="A49" s="3" t="s">
        <v>121</v>
      </c>
      <c r="B49" s="10">
        <f>157716.53-2764.16</f>
        <v>154952.37</v>
      </c>
      <c r="C49" s="10">
        <v>275926.21000000002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</row>
    <row r="50" spans="1:16" ht="15" customHeight="1" x14ac:dyDescent="0.2">
      <c r="A50" s="4" t="s">
        <v>122</v>
      </c>
      <c r="B50" s="10">
        <f>B26+B27+B30+B31+B37+B40+B41+B48+B49</f>
        <v>2130860.89</v>
      </c>
      <c r="C50" s="10">
        <f>C26+C27+C30+C31+C37+C40+C41+C48+C49</f>
        <v>2039357.5899999999</v>
      </c>
      <c r="D50" s="30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</row>
    <row r="51" spans="1:16" ht="15" customHeight="1" x14ac:dyDescent="0.2">
      <c r="A51" s="17" t="s">
        <v>123</v>
      </c>
      <c r="B51" s="18">
        <f>B24-B50</f>
        <v>67210.659999999683</v>
      </c>
      <c r="C51" s="18">
        <f>C24-C50</f>
        <v>175865.87999999989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</row>
    <row r="52" spans="1:16" ht="15" customHeight="1" x14ac:dyDescent="0.2">
      <c r="A52" s="3" t="s">
        <v>124</v>
      </c>
      <c r="B52" s="12"/>
      <c r="C52" s="12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</row>
    <row r="53" spans="1:16" ht="15" customHeight="1" x14ac:dyDescent="0.2">
      <c r="A53" s="3" t="s">
        <v>125</v>
      </c>
      <c r="B53" s="8">
        <f>SUM(B54:B56)</f>
        <v>7.68</v>
      </c>
      <c r="C53" s="8">
        <f>SUM(C54:C56)</f>
        <v>76.48</v>
      </c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</row>
    <row r="54" spans="1:16" ht="15" customHeight="1" x14ac:dyDescent="0.2">
      <c r="A54" s="2" t="s">
        <v>126</v>
      </c>
      <c r="B54" s="9">
        <v>7.68</v>
      </c>
      <c r="C54" s="9">
        <f>45.6+2.85</f>
        <v>48.45</v>
      </c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</row>
    <row r="55" spans="1:16" ht="15" customHeight="1" x14ac:dyDescent="0.2">
      <c r="A55" s="2" t="s">
        <v>127</v>
      </c>
      <c r="B55" s="11">
        <v>0</v>
      </c>
      <c r="C55" s="11">
        <v>28.03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</row>
    <row r="56" spans="1:16" ht="15" customHeight="1" x14ac:dyDescent="0.2">
      <c r="A56" s="2" t="s">
        <v>128</v>
      </c>
      <c r="B56" s="11">
        <v>0</v>
      </c>
      <c r="C56" s="11">
        <v>0</v>
      </c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</row>
    <row r="57" spans="1:16" ht="15" customHeight="1" x14ac:dyDescent="0.2">
      <c r="A57" s="3" t="s">
        <v>129</v>
      </c>
      <c r="B57" s="8">
        <f>SUM(B58:B59)</f>
        <v>0</v>
      </c>
      <c r="C57" s="8">
        <f>SUM(C58:C59)</f>
        <v>0</v>
      </c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</row>
    <row r="58" spans="1:16" ht="15" customHeight="1" x14ac:dyDescent="0.2">
      <c r="A58" s="2" t="s">
        <v>130</v>
      </c>
      <c r="B58" s="9">
        <v>0</v>
      </c>
      <c r="C58" s="9">
        <v>0</v>
      </c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</row>
    <row r="59" spans="1:16" ht="15" customHeight="1" x14ac:dyDescent="0.2">
      <c r="A59" s="2" t="s">
        <v>131</v>
      </c>
      <c r="B59" s="11">
        <v>0</v>
      </c>
      <c r="C59" s="11">
        <v>0</v>
      </c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</row>
    <row r="60" spans="1:16" ht="15" customHeight="1" x14ac:dyDescent="0.2">
      <c r="A60" s="3" t="s">
        <v>132</v>
      </c>
      <c r="B60" s="8">
        <f>SUM(B61:B63)</f>
        <v>0</v>
      </c>
      <c r="C60" s="8">
        <f>SUM(C61:C63)</f>
        <v>520.5</v>
      </c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</row>
    <row r="61" spans="1:16" ht="15" customHeight="1" x14ac:dyDescent="0.2">
      <c r="A61" s="2" t="s">
        <v>133</v>
      </c>
      <c r="B61" s="9">
        <v>0</v>
      </c>
      <c r="C61" s="9">
        <v>520.5</v>
      </c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</row>
    <row r="62" spans="1:16" ht="15" customHeight="1" x14ac:dyDescent="0.2">
      <c r="A62" s="2" t="s">
        <v>134</v>
      </c>
      <c r="B62" s="11">
        <v>0</v>
      </c>
      <c r="C62" s="11">
        <v>0</v>
      </c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</row>
    <row r="63" spans="1:16" ht="15" customHeight="1" x14ac:dyDescent="0.2">
      <c r="A63" s="2" t="s">
        <v>135</v>
      </c>
      <c r="B63" s="11">
        <v>0</v>
      </c>
      <c r="C63" s="11">
        <v>0</v>
      </c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</row>
    <row r="64" spans="1:16" ht="15" customHeight="1" x14ac:dyDescent="0.2">
      <c r="A64" s="3" t="s">
        <v>136</v>
      </c>
      <c r="B64" s="10">
        <v>0</v>
      </c>
      <c r="C64" s="10">
        <v>2.85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</row>
    <row r="65" spans="1:16" ht="15" customHeight="1" x14ac:dyDescent="0.2">
      <c r="A65" s="17" t="s">
        <v>137</v>
      </c>
      <c r="B65" s="18">
        <f>B53+B57-B60-B64</f>
        <v>7.68</v>
      </c>
      <c r="C65" s="18">
        <f>C53+C57-C60-C64</f>
        <v>-446.87</v>
      </c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</row>
    <row r="66" spans="1:16" ht="15" customHeight="1" x14ac:dyDescent="0.2">
      <c r="A66" s="3" t="s">
        <v>138</v>
      </c>
      <c r="B66" s="12"/>
      <c r="C66" s="12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</row>
    <row r="67" spans="1:16" ht="15" customHeight="1" x14ac:dyDescent="0.2">
      <c r="A67" s="3" t="s">
        <v>139</v>
      </c>
      <c r="B67" s="12">
        <v>0</v>
      </c>
      <c r="C67" s="12">
        <v>0</v>
      </c>
    </row>
    <row r="68" spans="1:16" ht="15" customHeight="1" x14ac:dyDescent="0.2">
      <c r="A68" s="3" t="s">
        <v>140</v>
      </c>
      <c r="B68" s="7">
        <v>0</v>
      </c>
      <c r="C68" s="7">
        <v>0</v>
      </c>
    </row>
    <row r="69" spans="1:16" ht="15" customHeight="1" x14ac:dyDescent="0.2">
      <c r="A69" s="17" t="s">
        <v>141</v>
      </c>
      <c r="B69" s="18">
        <f>B67+B68</f>
        <v>0</v>
      </c>
      <c r="C69" s="18">
        <f>C67+C68</f>
        <v>0</v>
      </c>
    </row>
    <row r="70" spans="1:16" ht="15" customHeight="1" x14ac:dyDescent="0.2">
      <c r="A70" s="3" t="s">
        <v>142</v>
      </c>
      <c r="B70" s="10"/>
      <c r="C70" s="10"/>
    </row>
    <row r="71" spans="1:16" ht="15" customHeight="1" x14ac:dyDescent="0.2">
      <c r="A71" s="3" t="s">
        <v>143</v>
      </c>
      <c r="B71" s="7">
        <f>1243.67+618.39</f>
        <v>1862.06</v>
      </c>
      <c r="C71" s="7">
        <v>0</v>
      </c>
    </row>
    <row r="72" spans="1:16" ht="15" customHeight="1" x14ac:dyDescent="0.2">
      <c r="A72" s="3" t="s">
        <v>144</v>
      </c>
      <c r="B72" s="7">
        <v>2764.16</v>
      </c>
      <c r="C72" s="7"/>
    </row>
    <row r="73" spans="1:16" ht="15" customHeight="1" x14ac:dyDescent="0.2">
      <c r="A73" s="17" t="s">
        <v>145</v>
      </c>
      <c r="B73" s="18">
        <f>B71-B72</f>
        <v>-902.09999999999991</v>
      </c>
      <c r="C73" s="18">
        <f>C71-C72</f>
        <v>0</v>
      </c>
    </row>
    <row r="74" spans="1:16" ht="15" customHeight="1" x14ac:dyDescent="0.2">
      <c r="A74" s="3" t="s">
        <v>146</v>
      </c>
      <c r="B74" s="10">
        <f>B51+B65+B69+B73</f>
        <v>66316.239999999671</v>
      </c>
      <c r="C74" s="10">
        <f>C51+C65+C69+C73</f>
        <v>175419.00999999989</v>
      </c>
    </row>
    <row r="75" spans="1:16" ht="15" customHeight="1" x14ac:dyDescent="0.2">
      <c r="A75" s="2" t="s">
        <v>147</v>
      </c>
      <c r="B75" s="7">
        <f>58629.96+5660-1132-1698</f>
        <v>61459.96</v>
      </c>
      <c r="C75" s="7">
        <v>58290.23</v>
      </c>
    </row>
    <row r="76" spans="1:16" ht="15" customHeight="1" x14ac:dyDescent="0.2">
      <c r="A76" s="17" t="s">
        <v>148</v>
      </c>
      <c r="B76" s="18">
        <f>B74-B75</f>
        <v>4856.2799999996714</v>
      </c>
      <c r="C76" s="18">
        <f>C74-C75</f>
        <v>117128.77999999988</v>
      </c>
    </row>
    <row r="77" spans="1:16" ht="15" customHeight="1" x14ac:dyDescent="0.2">
      <c r="B77" s="30"/>
    </row>
    <row r="90" spans="1:6" ht="15" customHeight="1" x14ac:dyDescent="0.2">
      <c r="A90" s="6"/>
      <c r="B90" s="6"/>
      <c r="C90" s="6"/>
      <c r="D90" s="6"/>
      <c r="E90" s="6"/>
      <c r="F90" s="6"/>
    </row>
    <row r="91" spans="1:6" ht="15" customHeight="1" x14ac:dyDescent="0.2">
      <c r="A91" s="46"/>
      <c r="B91" s="46"/>
      <c r="C91" s="46"/>
      <c r="D91" s="46"/>
      <c r="E91" s="46"/>
      <c r="F91" s="46"/>
    </row>
    <row r="92" spans="1:6" ht="15" customHeight="1" x14ac:dyDescent="0.2">
      <c r="A92" s="46"/>
      <c r="B92" s="46"/>
      <c r="C92" s="46"/>
      <c r="D92" s="46"/>
      <c r="E92" s="46"/>
      <c r="F92" s="46"/>
    </row>
    <row r="93" spans="1:6" ht="15" customHeight="1" x14ac:dyDescent="0.2">
      <c r="A93" s="46"/>
      <c r="B93" s="46"/>
      <c r="C93" s="46"/>
      <c r="D93" s="46"/>
      <c r="E93" s="46"/>
      <c r="F93" s="46"/>
    </row>
  </sheetData>
  <mergeCells count="6">
    <mergeCell ref="A9:C9"/>
    <mergeCell ref="A1:C1"/>
    <mergeCell ref="A2:C2"/>
    <mergeCell ref="A3:C3"/>
    <mergeCell ref="A6:C6"/>
    <mergeCell ref="A7:C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StatoPatrimoniale</vt:lpstr>
      <vt:lpstr>ContoEconomico</vt:lpstr>
      <vt:lpstr>ContoEconomico!Area_stampa</vt:lpstr>
      <vt:lpstr>StatoPatrimoniale!Area_stampa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Catia Biliotti</cp:lastModifiedBy>
  <cp:lastPrinted>2016-10-28T08:42:12Z</cp:lastPrinted>
  <dcterms:created xsi:type="dcterms:W3CDTF">2015-07-14T19:28:16Z</dcterms:created>
  <dcterms:modified xsi:type="dcterms:W3CDTF">2016-10-28T08:42:40Z</dcterms:modified>
</cp:coreProperties>
</file>